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george\Desktop\"/>
    </mc:Choice>
  </mc:AlternateContent>
  <bookViews>
    <workbookView xWindow="0" yWindow="0" windowWidth="28800" windowHeight="12135"/>
  </bookViews>
  <sheets>
    <sheet name="2013"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610" i="1" l="1"/>
  <c r="D1609" i="1"/>
  <c r="D1608" i="1"/>
  <c r="D1607" i="1"/>
  <c r="D1606" i="1"/>
  <c r="D1605" i="1"/>
  <c r="D1604" i="1"/>
  <c r="D1603" i="1"/>
  <c r="D1602" i="1"/>
  <c r="D1601" i="1"/>
  <c r="D1600" i="1"/>
  <c r="D1599" i="1"/>
  <c r="D1598" i="1"/>
  <c r="D1597" i="1"/>
  <c r="D1596" i="1"/>
  <c r="D1595" i="1"/>
  <c r="D1594" i="1"/>
  <c r="D1593" i="1"/>
  <c r="D1592" i="1"/>
  <c r="D1591" i="1"/>
  <c r="D1590" i="1"/>
  <c r="D1589" i="1"/>
  <c r="D1588" i="1"/>
  <c r="D1587" i="1"/>
  <c r="D1586" i="1"/>
  <c r="D1585" i="1"/>
  <c r="I1584" i="1"/>
  <c r="D1584" i="1"/>
  <c r="D1583" i="1"/>
  <c r="D1582" i="1"/>
  <c r="D1581" i="1"/>
  <c r="D1580" i="1"/>
  <c r="D1579" i="1"/>
  <c r="D1578" i="1"/>
  <c r="D1577" i="1"/>
  <c r="D1576" i="1"/>
  <c r="D1575" i="1"/>
  <c r="D1574" i="1"/>
  <c r="D1573" i="1"/>
  <c r="D1572" i="1"/>
  <c r="D1571" i="1"/>
  <c r="D1570" i="1"/>
  <c r="D1569" i="1"/>
  <c r="D1568" i="1"/>
  <c r="D1567" i="1"/>
  <c r="D1566" i="1"/>
  <c r="D1565" i="1"/>
  <c r="D1564" i="1"/>
  <c r="D1563" i="1"/>
  <c r="D1562" i="1"/>
  <c r="D1561" i="1"/>
  <c r="D1560" i="1"/>
  <c r="D1559" i="1"/>
  <c r="D1558" i="1"/>
  <c r="D1557" i="1"/>
  <c r="D1556" i="1"/>
  <c r="D1555" i="1"/>
  <c r="D1554" i="1"/>
  <c r="D1553" i="1"/>
  <c r="D1552" i="1"/>
  <c r="D1551" i="1"/>
  <c r="D1550" i="1"/>
  <c r="D1549" i="1"/>
  <c r="D1548" i="1"/>
  <c r="D1547" i="1"/>
  <c r="D1546" i="1"/>
  <c r="D1545" i="1"/>
  <c r="D1544" i="1"/>
  <c r="D1543" i="1"/>
  <c r="D1542" i="1"/>
  <c r="D1541" i="1"/>
  <c r="D1540" i="1"/>
  <c r="D1539" i="1"/>
  <c r="D1538" i="1"/>
  <c r="D1537" i="1"/>
  <c r="D1536" i="1"/>
  <c r="D1535" i="1"/>
  <c r="D1534" i="1"/>
  <c r="D1533" i="1"/>
  <c r="D1532" i="1"/>
  <c r="D1531" i="1"/>
  <c r="D1530" i="1"/>
  <c r="D1529" i="1"/>
  <c r="D1528" i="1"/>
  <c r="D1527" i="1"/>
  <c r="D1526" i="1"/>
  <c r="D1525" i="1"/>
  <c r="D1524" i="1"/>
  <c r="D1523" i="1"/>
  <c r="D1522" i="1"/>
  <c r="D1521" i="1"/>
  <c r="D1520" i="1"/>
  <c r="D1519" i="1"/>
  <c r="D1518" i="1"/>
  <c r="D1517" i="1"/>
  <c r="D1516" i="1"/>
  <c r="D1515" i="1"/>
  <c r="D1514" i="1"/>
  <c r="D1513" i="1"/>
  <c r="D1512" i="1"/>
  <c r="D1511" i="1"/>
  <c r="D1510" i="1"/>
  <c r="D1509" i="1"/>
  <c r="D1508" i="1"/>
  <c r="D1507" i="1"/>
  <c r="D1506" i="1"/>
  <c r="D1505" i="1"/>
  <c r="D1504" i="1"/>
  <c r="D1503" i="1"/>
  <c r="D1502" i="1"/>
  <c r="D1501" i="1"/>
  <c r="D1500" i="1"/>
  <c r="D1499" i="1"/>
  <c r="D1498" i="1"/>
  <c r="D1497" i="1"/>
  <c r="D1496" i="1"/>
  <c r="D1495" i="1"/>
  <c r="D1494" i="1"/>
  <c r="D1493" i="1"/>
  <c r="D1492" i="1"/>
  <c r="D1491" i="1"/>
  <c r="D1490" i="1"/>
  <c r="D1489" i="1"/>
  <c r="D1488" i="1"/>
  <c r="D1487" i="1"/>
  <c r="D1486" i="1"/>
  <c r="D1485" i="1"/>
  <c r="D1484" i="1"/>
  <c r="D1483" i="1"/>
  <c r="D1482" i="1"/>
  <c r="D1481" i="1"/>
  <c r="D1480" i="1"/>
  <c r="D1479" i="1"/>
  <c r="D1478" i="1"/>
  <c r="D1477" i="1"/>
  <c r="D1476" i="1"/>
  <c r="D1475" i="1"/>
  <c r="D1474" i="1"/>
  <c r="D1473" i="1"/>
  <c r="D1472" i="1"/>
  <c r="D1471" i="1"/>
  <c r="D1470" i="1"/>
  <c r="D1469" i="1"/>
  <c r="D1468" i="1"/>
  <c r="D1467" i="1"/>
  <c r="D1466" i="1"/>
  <c r="D1465" i="1"/>
  <c r="D1464" i="1"/>
  <c r="D1463" i="1"/>
  <c r="D1462" i="1"/>
  <c r="D1461" i="1"/>
  <c r="D1460" i="1"/>
  <c r="D1459" i="1"/>
  <c r="D1458" i="1"/>
  <c r="D1457" i="1"/>
  <c r="D1456" i="1"/>
  <c r="D1455" i="1"/>
  <c r="D1454" i="1"/>
  <c r="D1453" i="1"/>
  <c r="D1452" i="1"/>
  <c r="D1451" i="1"/>
  <c r="D1450" i="1"/>
  <c r="D1449" i="1"/>
  <c r="D1448" i="1"/>
  <c r="D1447" i="1"/>
  <c r="D1446" i="1"/>
  <c r="D1445" i="1"/>
  <c r="D1444" i="1"/>
  <c r="D1443" i="1"/>
  <c r="D1442" i="1"/>
  <c r="D1441" i="1"/>
  <c r="D1440" i="1"/>
  <c r="D1439" i="1"/>
  <c r="D1438" i="1"/>
  <c r="D1437" i="1"/>
  <c r="D1436" i="1"/>
  <c r="D1435" i="1"/>
  <c r="D1434" i="1"/>
  <c r="D1433" i="1"/>
  <c r="D1432" i="1"/>
  <c r="D1431" i="1"/>
  <c r="D1430" i="1"/>
  <c r="D1429" i="1"/>
  <c r="D1428" i="1"/>
  <c r="D1427" i="1"/>
  <c r="D1426" i="1"/>
  <c r="D1425" i="1"/>
  <c r="D1424" i="1"/>
  <c r="D1423" i="1"/>
  <c r="D1422" i="1"/>
  <c r="D1421" i="1"/>
  <c r="D1420" i="1"/>
  <c r="D1419" i="1"/>
  <c r="D1418" i="1"/>
  <c r="D1417" i="1"/>
  <c r="D1416" i="1"/>
  <c r="D1415" i="1"/>
  <c r="D1414" i="1"/>
  <c r="D1413" i="1"/>
  <c r="D1412" i="1"/>
  <c r="D1411" i="1"/>
  <c r="D1410" i="1"/>
  <c r="D1409" i="1"/>
  <c r="D1408" i="1"/>
  <c r="D1407" i="1"/>
  <c r="D1406" i="1"/>
  <c r="D1405" i="1"/>
  <c r="D1404" i="1"/>
  <c r="D1403" i="1"/>
  <c r="D1402" i="1"/>
  <c r="D1401" i="1"/>
  <c r="D1400" i="1"/>
  <c r="D1399" i="1"/>
  <c r="D1398" i="1"/>
  <c r="D1397" i="1"/>
  <c r="D1396" i="1"/>
  <c r="D1395" i="1"/>
  <c r="D1394" i="1"/>
  <c r="D1393" i="1"/>
  <c r="D1392" i="1"/>
  <c r="D1391" i="1"/>
  <c r="D1390" i="1"/>
  <c r="D1389" i="1"/>
  <c r="D1388" i="1"/>
  <c r="D1387" i="1"/>
  <c r="D1386" i="1"/>
  <c r="D1385" i="1"/>
  <c r="D1384" i="1"/>
  <c r="D1383" i="1"/>
  <c r="D1382" i="1"/>
  <c r="D1381" i="1"/>
  <c r="D1380" i="1"/>
  <c r="D1379" i="1"/>
  <c r="D1378" i="1"/>
  <c r="D1377" i="1"/>
  <c r="D1376" i="1"/>
  <c r="D1375" i="1"/>
  <c r="D1374" i="1"/>
  <c r="D1373" i="1"/>
  <c r="D1372" i="1"/>
  <c r="D1371" i="1"/>
  <c r="D1370" i="1"/>
  <c r="D1369" i="1"/>
  <c r="D1368" i="1"/>
  <c r="D1367" i="1"/>
  <c r="D1366" i="1"/>
  <c r="D1365" i="1"/>
  <c r="D1364" i="1"/>
  <c r="D1363" i="1"/>
  <c r="D1362" i="1"/>
  <c r="D1361" i="1"/>
  <c r="D1360" i="1"/>
  <c r="D1359" i="1"/>
  <c r="D1358" i="1"/>
  <c r="D1357" i="1"/>
  <c r="D1356" i="1"/>
  <c r="D1355" i="1"/>
  <c r="D1354" i="1"/>
  <c r="D1353" i="1"/>
  <c r="D1352" i="1"/>
  <c r="D1351" i="1"/>
  <c r="D1350" i="1"/>
  <c r="D1349" i="1"/>
  <c r="D1348" i="1"/>
  <c r="D1347" i="1"/>
  <c r="D1346" i="1"/>
  <c r="D1345" i="1"/>
  <c r="D1344" i="1"/>
  <c r="D1343" i="1"/>
  <c r="D1342" i="1"/>
  <c r="D1341" i="1"/>
  <c r="D1340" i="1"/>
  <c r="D1339" i="1"/>
  <c r="D1338" i="1"/>
  <c r="D1337" i="1"/>
  <c r="D1336" i="1"/>
  <c r="D1335" i="1"/>
  <c r="D1334" i="1"/>
  <c r="D1333" i="1"/>
  <c r="D1332" i="1"/>
  <c r="D1331" i="1"/>
  <c r="D1330" i="1"/>
  <c r="D1329" i="1"/>
  <c r="D1328" i="1"/>
  <c r="D1327" i="1"/>
  <c r="D1326" i="1"/>
  <c r="D1325" i="1"/>
  <c r="D1324" i="1"/>
  <c r="D1323" i="1"/>
  <c r="D1322" i="1"/>
  <c r="D1321" i="1"/>
  <c r="D1320" i="1"/>
  <c r="D1319" i="1"/>
  <c r="D1318" i="1"/>
  <c r="D1317" i="1"/>
  <c r="D1316" i="1"/>
  <c r="D1315" i="1"/>
  <c r="D1314" i="1"/>
  <c r="D1313" i="1"/>
  <c r="D1312" i="1"/>
  <c r="D1311" i="1"/>
  <c r="D1310" i="1"/>
  <c r="D1309" i="1"/>
  <c r="D1308" i="1"/>
  <c r="D1307" i="1"/>
  <c r="D1306" i="1"/>
  <c r="D1305" i="1"/>
  <c r="D1304" i="1"/>
  <c r="D1303" i="1"/>
  <c r="D1302" i="1"/>
  <c r="D1301" i="1"/>
  <c r="D1300" i="1"/>
  <c r="D1299" i="1"/>
  <c r="D1298" i="1"/>
  <c r="D1297" i="1"/>
  <c r="D1296" i="1"/>
  <c r="D1295" i="1"/>
  <c r="D1294" i="1"/>
  <c r="D1293" i="1"/>
  <c r="D1292" i="1"/>
  <c r="D1291" i="1"/>
  <c r="D1290" i="1"/>
  <c r="D1289" i="1"/>
  <c r="D1288" i="1"/>
  <c r="D1287" i="1"/>
  <c r="D1286" i="1"/>
  <c r="D1285" i="1"/>
  <c r="D1284" i="1"/>
  <c r="D1283" i="1"/>
  <c r="D1282" i="1"/>
  <c r="D1281" i="1"/>
  <c r="D1280" i="1"/>
  <c r="D1279" i="1"/>
  <c r="D1278" i="1"/>
  <c r="D1277" i="1"/>
  <c r="D1276" i="1"/>
  <c r="D1275" i="1"/>
  <c r="D1274" i="1"/>
  <c r="D1273" i="1"/>
  <c r="D1272" i="1"/>
  <c r="D1271" i="1"/>
  <c r="D1270" i="1"/>
  <c r="D1269" i="1"/>
  <c r="D1268" i="1"/>
  <c r="D1267" i="1"/>
  <c r="D1266" i="1"/>
  <c r="D1265" i="1"/>
  <c r="D1264" i="1"/>
  <c r="D1263" i="1"/>
  <c r="D1262" i="1"/>
  <c r="D1261" i="1"/>
  <c r="D1260" i="1"/>
  <c r="D1259" i="1"/>
  <c r="D1258" i="1"/>
  <c r="D1257" i="1"/>
  <c r="D1256" i="1"/>
  <c r="D1255" i="1"/>
  <c r="D1254" i="1"/>
  <c r="D1253" i="1"/>
  <c r="D1252" i="1"/>
  <c r="D1251" i="1"/>
  <c r="D1250" i="1"/>
  <c r="D1249" i="1"/>
  <c r="D1248" i="1"/>
  <c r="D1247" i="1"/>
  <c r="D1246" i="1"/>
  <c r="D1245" i="1"/>
  <c r="D1244" i="1"/>
  <c r="D1243" i="1"/>
  <c r="D1242" i="1"/>
  <c r="D1241" i="1"/>
  <c r="D1240" i="1"/>
  <c r="D1239" i="1"/>
  <c r="D1238" i="1"/>
  <c r="D1237" i="1"/>
  <c r="D1236" i="1"/>
  <c r="D1235" i="1"/>
  <c r="D1234" i="1"/>
  <c r="D1233" i="1"/>
  <c r="D1232" i="1"/>
  <c r="D1231" i="1"/>
  <c r="D1230" i="1"/>
  <c r="D1229" i="1"/>
  <c r="D1228" i="1"/>
  <c r="D1227" i="1"/>
  <c r="D1226" i="1"/>
  <c r="D1225" i="1"/>
  <c r="D1224" i="1"/>
  <c r="D1223" i="1"/>
  <c r="D1222" i="1"/>
  <c r="D1221" i="1"/>
  <c r="D1220" i="1"/>
  <c r="D1219" i="1"/>
  <c r="D1218" i="1"/>
  <c r="D1217" i="1"/>
  <c r="D1216" i="1"/>
  <c r="D1215" i="1"/>
  <c r="D1214" i="1"/>
  <c r="D1213" i="1"/>
  <c r="D1212" i="1"/>
  <c r="D1211" i="1"/>
  <c r="D1210" i="1"/>
  <c r="D1209" i="1"/>
  <c r="D1208" i="1"/>
  <c r="D1207" i="1"/>
  <c r="D1206" i="1"/>
  <c r="D1205" i="1"/>
  <c r="D1204" i="1"/>
  <c r="D1203" i="1"/>
  <c r="D1202" i="1"/>
  <c r="D1201" i="1"/>
  <c r="D1200" i="1"/>
  <c r="D1199" i="1"/>
  <c r="D1198" i="1"/>
  <c r="D1197" i="1"/>
  <c r="D1196" i="1"/>
  <c r="D1195" i="1"/>
  <c r="D1194" i="1"/>
  <c r="D1193" i="1"/>
  <c r="D1192" i="1"/>
  <c r="D1191" i="1"/>
  <c r="D1190" i="1"/>
  <c r="D1189" i="1"/>
  <c r="D1188" i="1"/>
  <c r="D1187" i="1"/>
  <c r="D1186" i="1"/>
  <c r="D1185" i="1"/>
  <c r="D1184" i="1"/>
  <c r="D1183" i="1"/>
  <c r="D1182" i="1"/>
  <c r="D1181" i="1"/>
  <c r="D1180" i="1"/>
  <c r="D1179" i="1"/>
  <c r="D1178" i="1"/>
  <c r="D1177" i="1"/>
  <c r="D1176" i="1"/>
  <c r="D1175" i="1"/>
  <c r="D1174" i="1"/>
  <c r="D1173" i="1"/>
  <c r="D1172" i="1"/>
  <c r="D1171" i="1"/>
  <c r="D1170" i="1"/>
  <c r="D1169" i="1"/>
  <c r="D1168" i="1"/>
  <c r="D1167" i="1"/>
  <c r="D1166" i="1"/>
  <c r="D1165" i="1"/>
  <c r="D1164" i="1"/>
  <c r="D1163" i="1"/>
  <c r="D1162" i="1"/>
  <c r="D1161" i="1"/>
  <c r="D1160" i="1"/>
  <c r="D1159" i="1"/>
  <c r="D1158" i="1"/>
  <c r="D1157" i="1"/>
  <c r="D1156" i="1"/>
  <c r="D1155" i="1"/>
  <c r="D1154" i="1"/>
  <c r="D1153" i="1"/>
  <c r="D1152" i="1"/>
  <c r="D1151" i="1"/>
  <c r="D1150" i="1"/>
  <c r="D1149" i="1"/>
  <c r="D1148" i="1"/>
  <c r="D1147" i="1"/>
  <c r="D1146" i="1"/>
  <c r="D1145" i="1"/>
  <c r="D1144" i="1"/>
  <c r="D1143" i="1"/>
  <c r="D1142" i="1"/>
  <c r="D1141" i="1"/>
  <c r="D1140" i="1"/>
  <c r="D1139" i="1"/>
  <c r="D1138" i="1"/>
  <c r="D1137" i="1"/>
  <c r="D1136" i="1"/>
  <c r="D1135" i="1"/>
  <c r="D1134" i="1"/>
  <c r="D1133" i="1"/>
  <c r="D1132" i="1"/>
  <c r="D1131" i="1"/>
  <c r="D1130" i="1"/>
  <c r="D1129" i="1"/>
  <c r="D1128" i="1"/>
  <c r="D1127" i="1"/>
  <c r="D1126" i="1"/>
  <c r="D1125" i="1"/>
  <c r="D1124" i="1"/>
  <c r="D1123" i="1"/>
  <c r="D1122" i="1"/>
  <c r="D1121" i="1"/>
  <c r="D1120" i="1"/>
  <c r="D1119" i="1"/>
  <c r="D1118" i="1"/>
  <c r="D1117" i="1"/>
  <c r="D1116" i="1"/>
  <c r="D1115" i="1"/>
  <c r="D1114" i="1"/>
  <c r="D1113" i="1"/>
  <c r="D1112" i="1"/>
  <c r="D1111" i="1"/>
  <c r="D1110" i="1"/>
  <c r="D1109" i="1"/>
  <c r="D1108" i="1"/>
  <c r="D1107" i="1"/>
  <c r="D1106" i="1"/>
  <c r="D1105" i="1"/>
  <c r="D1104" i="1"/>
  <c r="D1103" i="1"/>
  <c r="D1102" i="1"/>
  <c r="D1101" i="1"/>
  <c r="D1100" i="1"/>
  <c r="D1099" i="1"/>
  <c r="D1098" i="1"/>
  <c r="D1097" i="1"/>
  <c r="D1096" i="1"/>
  <c r="D1095" i="1"/>
  <c r="D1094" i="1"/>
  <c r="D1093" i="1"/>
  <c r="D1092" i="1"/>
  <c r="D1091" i="1"/>
  <c r="D1090" i="1"/>
  <c r="D1089" i="1"/>
  <c r="D1088" i="1"/>
  <c r="D1087" i="1"/>
  <c r="D1086" i="1"/>
  <c r="D1085" i="1"/>
  <c r="D1084" i="1"/>
  <c r="D1083" i="1"/>
  <c r="D1082" i="1"/>
  <c r="D1081" i="1"/>
  <c r="D1080" i="1"/>
  <c r="D1079" i="1"/>
  <c r="D1078" i="1"/>
  <c r="D1077" i="1"/>
  <c r="D1076" i="1"/>
  <c r="D1075" i="1"/>
  <c r="D1074" i="1"/>
  <c r="D1073" i="1"/>
  <c r="D1072" i="1"/>
  <c r="D1071" i="1"/>
  <c r="D1070" i="1"/>
  <c r="D1069" i="1"/>
  <c r="D1068" i="1"/>
  <c r="D1067" i="1"/>
  <c r="D1066" i="1"/>
  <c r="D1065" i="1"/>
  <c r="D1064" i="1"/>
  <c r="D1063" i="1"/>
  <c r="D1062" i="1"/>
  <c r="D1061" i="1"/>
  <c r="D1060" i="1"/>
  <c r="D1059" i="1"/>
  <c r="D1058" i="1"/>
  <c r="D1057" i="1"/>
  <c r="D1056" i="1"/>
  <c r="D1055" i="1"/>
  <c r="D1054" i="1"/>
  <c r="D1053" i="1"/>
  <c r="D1052" i="1"/>
  <c r="D1051" i="1"/>
  <c r="D1050" i="1"/>
  <c r="D1049" i="1"/>
  <c r="D1048" i="1"/>
  <c r="D1047" i="1"/>
  <c r="D1046" i="1"/>
  <c r="D1045" i="1"/>
  <c r="D1044" i="1"/>
  <c r="D1043" i="1"/>
  <c r="D1042" i="1"/>
  <c r="D1041" i="1"/>
  <c r="D1040" i="1"/>
  <c r="D1039" i="1"/>
  <c r="D1038" i="1"/>
  <c r="D1037" i="1"/>
  <c r="D1036" i="1"/>
  <c r="D1035" i="1"/>
  <c r="D1034" i="1"/>
  <c r="D1033" i="1"/>
  <c r="D1032" i="1"/>
  <c r="D1031" i="1"/>
  <c r="D1030" i="1"/>
  <c r="D1029" i="1"/>
  <c r="D1028" i="1"/>
  <c r="D1027" i="1"/>
  <c r="D1026" i="1"/>
  <c r="D1025" i="1"/>
  <c r="D1024" i="1"/>
  <c r="D1023" i="1"/>
  <c r="D1022" i="1"/>
  <c r="D1021" i="1"/>
  <c r="D1020" i="1"/>
  <c r="D1019" i="1"/>
  <c r="D1018" i="1"/>
  <c r="D1017" i="1"/>
  <c r="D1016" i="1"/>
  <c r="D1015" i="1"/>
  <c r="D1014" i="1"/>
  <c r="D1013" i="1"/>
  <c r="D1012" i="1"/>
  <c r="D1011" i="1"/>
  <c r="D1010" i="1"/>
  <c r="D1009" i="1"/>
  <c r="D1008" i="1"/>
  <c r="D1007" i="1"/>
  <c r="D1006" i="1"/>
  <c r="D1005" i="1"/>
  <c r="D1004" i="1"/>
  <c r="D1003" i="1"/>
  <c r="D1002" i="1"/>
  <c r="D1001" i="1"/>
  <c r="D1000" i="1"/>
  <c r="D999" i="1"/>
  <c r="D998" i="1"/>
  <c r="D997" i="1"/>
  <c r="D996" i="1"/>
  <c r="D995" i="1"/>
  <c r="D994" i="1"/>
  <c r="D993" i="1"/>
  <c r="D992" i="1"/>
  <c r="D991" i="1"/>
  <c r="D990" i="1"/>
  <c r="D989" i="1"/>
  <c r="D988" i="1"/>
  <c r="D987" i="1"/>
  <c r="D986" i="1"/>
  <c r="D985" i="1"/>
  <c r="D984" i="1"/>
  <c r="D983" i="1"/>
  <c r="D982" i="1"/>
  <c r="D981" i="1"/>
  <c r="D980" i="1"/>
  <c r="D979" i="1"/>
  <c r="D978" i="1"/>
  <c r="D977" i="1"/>
  <c r="D976" i="1"/>
  <c r="D975" i="1"/>
  <c r="D974" i="1"/>
  <c r="D973" i="1"/>
  <c r="D972" i="1"/>
  <c r="D971" i="1"/>
  <c r="D970" i="1"/>
  <c r="D969" i="1"/>
  <c r="D968" i="1"/>
  <c r="D967" i="1"/>
  <c r="D966" i="1"/>
  <c r="D965" i="1"/>
  <c r="D964" i="1"/>
  <c r="D963" i="1"/>
  <c r="D962" i="1"/>
  <c r="D961" i="1"/>
  <c r="D960" i="1"/>
  <c r="D959" i="1"/>
  <c r="D958" i="1"/>
  <c r="D957" i="1"/>
  <c r="D956" i="1"/>
  <c r="D955" i="1"/>
  <c r="D954" i="1"/>
  <c r="D953" i="1"/>
  <c r="D952" i="1"/>
  <c r="D951" i="1"/>
  <c r="D950" i="1"/>
  <c r="D949" i="1"/>
  <c r="D948" i="1"/>
  <c r="D947" i="1"/>
  <c r="D946" i="1"/>
  <c r="D945" i="1"/>
  <c r="D944" i="1"/>
  <c r="D943" i="1"/>
  <c r="D942" i="1"/>
  <c r="D941" i="1"/>
  <c r="D940" i="1"/>
  <c r="D939" i="1"/>
  <c r="D938" i="1"/>
  <c r="D937" i="1"/>
  <c r="D936" i="1"/>
  <c r="D935" i="1"/>
  <c r="D934" i="1"/>
  <c r="D933" i="1"/>
  <c r="D932" i="1"/>
  <c r="D931" i="1"/>
  <c r="D930" i="1"/>
  <c r="D929" i="1"/>
  <c r="D928" i="1"/>
  <c r="D927" i="1"/>
  <c r="I926" i="1"/>
  <c r="D926" i="1"/>
  <c r="I925" i="1"/>
  <c r="D925" i="1"/>
  <c r="I924" i="1"/>
  <c r="D924" i="1"/>
  <c r="I923" i="1"/>
  <c r="D923" i="1"/>
  <c r="I922" i="1"/>
  <c r="D922" i="1"/>
  <c r="I921" i="1"/>
  <c r="D921" i="1"/>
  <c r="I920" i="1"/>
  <c r="D920" i="1"/>
  <c r="I919" i="1"/>
  <c r="D919" i="1"/>
  <c r="I918" i="1"/>
  <c r="D918" i="1"/>
  <c r="I917" i="1"/>
  <c r="D917" i="1"/>
  <c r="I916" i="1"/>
  <c r="D916" i="1"/>
  <c r="I915" i="1"/>
  <c r="D915" i="1"/>
  <c r="I914" i="1"/>
  <c r="D914" i="1"/>
  <c r="I913" i="1"/>
  <c r="D913" i="1"/>
  <c r="I912" i="1"/>
  <c r="D912" i="1"/>
  <c r="I911" i="1"/>
  <c r="D911" i="1"/>
  <c r="I910" i="1"/>
  <c r="D910" i="1"/>
  <c r="I909" i="1"/>
  <c r="D909" i="1"/>
  <c r="I908" i="1"/>
  <c r="D908" i="1"/>
  <c r="I907" i="1"/>
  <c r="D907" i="1"/>
  <c r="I906" i="1"/>
  <c r="D906" i="1"/>
  <c r="I905" i="1"/>
  <c r="D905" i="1"/>
  <c r="I904" i="1"/>
  <c r="D904" i="1"/>
  <c r="I903" i="1"/>
  <c r="D903" i="1"/>
  <c r="I902" i="1"/>
  <c r="D902" i="1"/>
  <c r="I901" i="1"/>
  <c r="D901" i="1"/>
  <c r="I900" i="1"/>
  <c r="D900" i="1"/>
  <c r="I899" i="1"/>
  <c r="D899" i="1"/>
  <c r="I898" i="1"/>
  <c r="D898" i="1"/>
  <c r="I897" i="1"/>
  <c r="D897" i="1"/>
  <c r="I896" i="1"/>
  <c r="D896" i="1"/>
  <c r="I895" i="1"/>
  <c r="D895" i="1"/>
  <c r="I894" i="1"/>
  <c r="D894" i="1"/>
  <c r="I893" i="1"/>
  <c r="D893" i="1"/>
  <c r="I892" i="1"/>
  <c r="D892" i="1"/>
  <c r="I891" i="1"/>
  <c r="D891" i="1"/>
  <c r="I890" i="1"/>
  <c r="D890" i="1"/>
  <c r="I889" i="1"/>
  <c r="D889" i="1"/>
  <c r="I888" i="1"/>
  <c r="D888" i="1"/>
  <c r="I887" i="1"/>
  <c r="D887" i="1"/>
  <c r="I886" i="1"/>
  <c r="D886" i="1"/>
  <c r="I885" i="1"/>
  <c r="D885" i="1"/>
  <c r="I884" i="1"/>
  <c r="D884" i="1"/>
  <c r="I883" i="1"/>
  <c r="D883" i="1"/>
  <c r="I882" i="1"/>
  <c r="D882" i="1"/>
  <c r="I881" i="1"/>
  <c r="D881" i="1"/>
  <c r="I880" i="1"/>
  <c r="D880" i="1"/>
  <c r="I879" i="1"/>
  <c r="D879" i="1"/>
  <c r="I878" i="1"/>
  <c r="D878" i="1"/>
  <c r="I877" i="1"/>
  <c r="D877" i="1"/>
  <c r="I876" i="1"/>
  <c r="D876" i="1"/>
  <c r="I875" i="1"/>
  <c r="D875" i="1"/>
  <c r="I874" i="1"/>
  <c r="D874" i="1"/>
  <c r="I873" i="1"/>
  <c r="D873" i="1"/>
  <c r="I872" i="1"/>
  <c r="D872" i="1"/>
  <c r="I871" i="1"/>
  <c r="D871" i="1"/>
  <c r="I870" i="1"/>
  <c r="D870" i="1"/>
  <c r="I869" i="1"/>
  <c r="D869" i="1"/>
  <c r="I868" i="1"/>
  <c r="D868" i="1"/>
  <c r="I867" i="1"/>
  <c r="D867" i="1"/>
  <c r="I866" i="1"/>
  <c r="D866" i="1"/>
  <c r="I865" i="1"/>
  <c r="D865" i="1"/>
  <c r="I864" i="1"/>
  <c r="D864" i="1"/>
  <c r="I863" i="1"/>
  <c r="D863" i="1"/>
  <c r="I862" i="1"/>
  <c r="D862" i="1"/>
  <c r="I861" i="1"/>
  <c r="D861" i="1"/>
  <c r="I860" i="1"/>
  <c r="D860" i="1"/>
  <c r="I859" i="1"/>
  <c r="D859" i="1"/>
  <c r="I858" i="1"/>
  <c r="D858" i="1"/>
  <c r="I857" i="1"/>
  <c r="D857" i="1"/>
  <c r="I856" i="1"/>
  <c r="D856" i="1"/>
  <c r="I855" i="1"/>
  <c r="D855" i="1"/>
  <c r="I854" i="1"/>
  <c r="D854" i="1"/>
  <c r="I853" i="1"/>
  <c r="D853" i="1"/>
  <c r="I852" i="1"/>
  <c r="D852" i="1"/>
  <c r="I851" i="1"/>
  <c r="D851" i="1"/>
  <c r="I850" i="1"/>
  <c r="D850" i="1"/>
  <c r="I849" i="1"/>
  <c r="D849" i="1"/>
  <c r="I848" i="1"/>
  <c r="D848" i="1"/>
  <c r="I847" i="1"/>
  <c r="D847" i="1"/>
  <c r="I846" i="1"/>
  <c r="D846" i="1"/>
  <c r="I845" i="1"/>
  <c r="D845" i="1"/>
  <c r="I844" i="1"/>
  <c r="D844" i="1"/>
  <c r="I843" i="1"/>
  <c r="D843" i="1"/>
  <c r="I842" i="1"/>
  <c r="D842" i="1"/>
  <c r="I841" i="1"/>
  <c r="D841" i="1"/>
  <c r="I840" i="1"/>
  <c r="D840" i="1"/>
  <c r="I839" i="1"/>
  <c r="D839" i="1"/>
  <c r="I838" i="1"/>
  <c r="D838" i="1"/>
  <c r="I837" i="1"/>
  <c r="D837" i="1"/>
  <c r="I836" i="1"/>
  <c r="D836" i="1"/>
  <c r="I835" i="1"/>
  <c r="D835" i="1"/>
  <c r="I834" i="1"/>
  <c r="D834" i="1"/>
  <c r="I833" i="1"/>
  <c r="D833" i="1"/>
  <c r="I832" i="1"/>
  <c r="D832" i="1"/>
  <c r="I831" i="1"/>
  <c r="D831" i="1"/>
  <c r="I830" i="1"/>
  <c r="D830" i="1"/>
  <c r="I829" i="1"/>
  <c r="D829" i="1"/>
  <c r="I828" i="1"/>
  <c r="D828" i="1"/>
  <c r="I827" i="1"/>
  <c r="D827" i="1"/>
  <c r="I826" i="1"/>
  <c r="D826" i="1"/>
  <c r="I825" i="1"/>
  <c r="D825" i="1"/>
  <c r="I824" i="1"/>
  <c r="D824" i="1"/>
  <c r="I823" i="1"/>
  <c r="D823" i="1"/>
  <c r="I822" i="1"/>
  <c r="D822" i="1"/>
  <c r="I821" i="1"/>
  <c r="D821" i="1"/>
  <c r="I820" i="1"/>
  <c r="D820" i="1"/>
  <c r="I819" i="1"/>
  <c r="D819" i="1"/>
  <c r="I818" i="1"/>
  <c r="D818" i="1"/>
  <c r="I817" i="1"/>
  <c r="D817" i="1"/>
  <c r="I816" i="1"/>
  <c r="D816" i="1"/>
  <c r="I815" i="1"/>
  <c r="D815" i="1"/>
  <c r="I814" i="1"/>
  <c r="D814" i="1"/>
  <c r="I813" i="1"/>
  <c r="D813" i="1"/>
  <c r="I812" i="1"/>
  <c r="D812" i="1"/>
  <c r="I811" i="1"/>
  <c r="D811" i="1"/>
  <c r="I810" i="1"/>
  <c r="D810" i="1"/>
  <c r="I809" i="1"/>
  <c r="D809" i="1"/>
  <c r="I808" i="1"/>
  <c r="D808" i="1"/>
  <c r="I807" i="1"/>
  <c r="D807" i="1"/>
  <c r="I806" i="1"/>
  <c r="D806" i="1"/>
  <c r="I805" i="1"/>
  <c r="D805" i="1"/>
  <c r="I804" i="1"/>
  <c r="D804" i="1"/>
  <c r="I803" i="1"/>
  <c r="D803" i="1"/>
  <c r="I802" i="1"/>
  <c r="D802" i="1"/>
  <c r="I801" i="1"/>
  <c r="D801" i="1"/>
  <c r="I800" i="1"/>
  <c r="D800" i="1"/>
  <c r="I799" i="1"/>
  <c r="D799" i="1"/>
  <c r="I798" i="1"/>
  <c r="D798" i="1"/>
  <c r="I797" i="1"/>
  <c r="D797" i="1"/>
  <c r="I796" i="1"/>
  <c r="D796" i="1"/>
  <c r="I795" i="1"/>
  <c r="D795" i="1"/>
  <c r="I794" i="1"/>
  <c r="D794" i="1"/>
  <c r="I793" i="1"/>
  <c r="D793" i="1"/>
  <c r="I792" i="1"/>
  <c r="D792" i="1"/>
  <c r="I791" i="1"/>
  <c r="D791" i="1"/>
  <c r="I790" i="1"/>
  <c r="D790" i="1"/>
  <c r="I789" i="1"/>
  <c r="D789" i="1"/>
  <c r="I788" i="1"/>
  <c r="D788" i="1"/>
  <c r="I787" i="1"/>
  <c r="D787" i="1"/>
  <c r="I786" i="1"/>
  <c r="D786" i="1"/>
  <c r="I785" i="1"/>
  <c r="D785" i="1"/>
  <c r="I784" i="1"/>
  <c r="D784" i="1"/>
  <c r="I783" i="1"/>
  <c r="D783" i="1"/>
  <c r="I782" i="1"/>
  <c r="D782" i="1"/>
  <c r="I781" i="1"/>
  <c r="D781" i="1"/>
  <c r="I780" i="1"/>
  <c r="D780" i="1"/>
  <c r="I779" i="1"/>
  <c r="D779" i="1"/>
  <c r="I778" i="1"/>
  <c r="D778" i="1"/>
  <c r="I777" i="1"/>
  <c r="D777" i="1"/>
  <c r="I776" i="1"/>
  <c r="D776" i="1"/>
  <c r="I775" i="1"/>
  <c r="D775" i="1"/>
  <c r="I774" i="1"/>
  <c r="D774" i="1"/>
  <c r="I773" i="1"/>
  <c r="D773" i="1"/>
  <c r="I772" i="1"/>
  <c r="D772" i="1"/>
  <c r="I771" i="1"/>
  <c r="D771" i="1"/>
  <c r="I770" i="1"/>
  <c r="D770" i="1"/>
  <c r="I769" i="1"/>
  <c r="D769" i="1"/>
  <c r="I768" i="1"/>
  <c r="D768" i="1"/>
  <c r="I767" i="1"/>
  <c r="D767" i="1"/>
  <c r="I766" i="1"/>
  <c r="D766" i="1"/>
  <c r="I765" i="1"/>
  <c r="D765" i="1"/>
  <c r="I764" i="1"/>
  <c r="D764" i="1"/>
  <c r="I763" i="1"/>
  <c r="D763" i="1"/>
  <c r="I762" i="1"/>
  <c r="D762" i="1"/>
  <c r="I761" i="1"/>
  <c r="D761" i="1"/>
  <c r="I760" i="1"/>
  <c r="D760" i="1"/>
  <c r="I759" i="1"/>
  <c r="D759" i="1"/>
  <c r="I758" i="1"/>
  <c r="D758" i="1"/>
  <c r="I757" i="1"/>
  <c r="D757" i="1"/>
  <c r="I756" i="1"/>
  <c r="D756" i="1"/>
  <c r="I755" i="1"/>
  <c r="D755" i="1"/>
  <c r="I754" i="1"/>
  <c r="D754" i="1"/>
  <c r="I753" i="1"/>
  <c r="D753" i="1"/>
  <c r="I752" i="1"/>
  <c r="D752" i="1"/>
  <c r="I751" i="1"/>
  <c r="D751" i="1"/>
  <c r="I750" i="1"/>
  <c r="D750" i="1"/>
  <c r="I749" i="1"/>
  <c r="D749" i="1"/>
  <c r="I748" i="1"/>
  <c r="D748" i="1"/>
  <c r="I747" i="1"/>
  <c r="D747" i="1"/>
  <c r="I746" i="1"/>
  <c r="D746" i="1"/>
  <c r="I745" i="1"/>
  <c r="D745" i="1"/>
  <c r="I744" i="1"/>
  <c r="D744" i="1"/>
  <c r="I743" i="1"/>
  <c r="D743" i="1"/>
  <c r="I742" i="1"/>
  <c r="D742" i="1"/>
  <c r="I741" i="1"/>
  <c r="D741" i="1"/>
  <c r="I740" i="1"/>
  <c r="D740" i="1"/>
  <c r="I739" i="1"/>
  <c r="D739" i="1"/>
  <c r="I738" i="1"/>
  <c r="D738" i="1"/>
  <c r="I737" i="1"/>
  <c r="D737" i="1"/>
  <c r="I736" i="1"/>
  <c r="D736" i="1"/>
  <c r="I735" i="1"/>
  <c r="D735" i="1"/>
  <c r="I734" i="1"/>
  <c r="D734" i="1"/>
  <c r="I733" i="1"/>
  <c r="D733" i="1"/>
  <c r="I732" i="1"/>
  <c r="D732" i="1"/>
  <c r="I731" i="1"/>
  <c r="D731" i="1"/>
  <c r="I730" i="1"/>
  <c r="D730" i="1"/>
  <c r="I729" i="1"/>
  <c r="D729" i="1"/>
  <c r="I728" i="1"/>
  <c r="D728" i="1"/>
  <c r="I727" i="1"/>
  <c r="D727" i="1"/>
  <c r="I726" i="1"/>
  <c r="D726" i="1"/>
  <c r="I725" i="1"/>
  <c r="D725" i="1"/>
  <c r="I724" i="1"/>
  <c r="D724" i="1"/>
  <c r="I723" i="1"/>
  <c r="D723" i="1"/>
  <c r="I722" i="1"/>
  <c r="D722" i="1"/>
  <c r="I721" i="1"/>
  <c r="D721" i="1"/>
  <c r="I720" i="1"/>
  <c r="D720" i="1"/>
  <c r="I719" i="1"/>
  <c r="D719" i="1"/>
  <c r="I718" i="1"/>
  <c r="D718" i="1"/>
  <c r="I717" i="1"/>
  <c r="D717" i="1"/>
  <c r="I716" i="1"/>
  <c r="D716" i="1"/>
  <c r="I715" i="1"/>
  <c r="D715" i="1"/>
  <c r="I714" i="1"/>
  <c r="D714" i="1"/>
  <c r="I713" i="1"/>
  <c r="D713" i="1"/>
  <c r="I712" i="1"/>
  <c r="D712" i="1"/>
  <c r="I711" i="1"/>
  <c r="D711" i="1"/>
  <c r="I710" i="1"/>
  <c r="D710" i="1"/>
  <c r="I709" i="1"/>
  <c r="D709" i="1"/>
  <c r="I708" i="1"/>
  <c r="D708" i="1"/>
  <c r="I707" i="1"/>
  <c r="D707" i="1"/>
  <c r="I706" i="1"/>
  <c r="D706" i="1"/>
  <c r="I705" i="1"/>
  <c r="D705" i="1"/>
  <c r="I704" i="1"/>
  <c r="D704" i="1"/>
  <c r="I703" i="1"/>
  <c r="D703" i="1"/>
  <c r="I702" i="1"/>
  <c r="D702" i="1"/>
  <c r="I701" i="1"/>
  <c r="D701" i="1"/>
  <c r="I700" i="1"/>
  <c r="D700" i="1"/>
  <c r="I699" i="1"/>
  <c r="D699" i="1"/>
  <c r="I698" i="1"/>
  <c r="D698" i="1"/>
  <c r="I697" i="1"/>
  <c r="D697" i="1"/>
  <c r="I696" i="1"/>
  <c r="D696" i="1"/>
  <c r="I695" i="1"/>
  <c r="D695" i="1"/>
  <c r="I694" i="1"/>
  <c r="D694" i="1"/>
  <c r="I693" i="1"/>
  <c r="D693" i="1"/>
  <c r="I692" i="1"/>
  <c r="D692" i="1"/>
  <c r="I691" i="1"/>
  <c r="D691" i="1"/>
  <c r="I690" i="1"/>
  <c r="D690" i="1"/>
  <c r="I689" i="1"/>
  <c r="D689" i="1"/>
  <c r="I688" i="1"/>
  <c r="D688" i="1"/>
  <c r="I687" i="1"/>
  <c r="D687" i="1"/>
  <c r="I686" i="1"/>
  <c r="D686" i="1"/>
  <c r="I685" i="1"/>
  <c r="D685" i="1"/>
  <c r="I684" i="1"/>
  <c r="D684" i="1"/>
  <c r="I683" i="1"/>
  <c r="D683" i="1"/>
  <c r="I682" i="1"/>
  <c r="D682" i="1"/>
  <c r="I681" i="1"/>
  <c r="D681" i="1"/>
  <c r="I680" i="1"/>
  <c r="D680" i="1"/>
  <c r="I679" i="1"/>
  <c r="D679" i="1"/>
  <c r="I678" i="1"/>
  <c r="D678" i="1"/>
  <c r="I677" i="1"/>
  <c r="D677" i="1"/>
  <c r="I676" i="1"/>
  <c r="D676" i="1"/>
  <c r="I675" i="1"/>
  <c r="D675" i="1"/>
  <c r="I674" i="1"/>
  <c r="D674" i="1"/>
  <c r="I673" i="1"/>
  <c r="D673" i="1"/>
  <c r="I672" i="1"/>
  <c r="D672" i="1"/>
  <c r="I671" i="1"/>
  <c r="D671" i="1"/>
  <c r="I670" i="1"/>
  <c r="D670" i="1"/>
  <c r="I669" i="1"/>
  <c r="D669" i="1"/>
  <c r="I668" i="1"/>
  <c r="D668" i="1"/>
  <c r="I667" i="1"/>
  <c r="D667" i="1"/>
  <c r="I666" i="1"/>
  <c r="D666" i="1"/>
  <c r="I665" i="1"/>
  <c r="D665" i="1"/>
  <c r="I664" i="1"/>
  <c r="D664" i="1"/>
  <c r="I663" i="1"/>
  <c r="D663" i="1"/>
  <c r="I662" i="1"/>
  <c r="D662" i="1"/>
  <c r="I661" i="1"/>
  <c r="D661" i="1"/>
  <c r="I660" i="1"/>
  <c r="D660" i="1"/>
  <c r="I659" i="1"/>
  <c r="D659" i="1"/>
  <c r="I658" i="1"/>
  <c r="D658" i="1"/>
  <c r="I657" i="1"/>
  <c r="D657" i="1"/>
  <c r="I656" i="1"/>
  <c r="D656" i="1"/>
  <c r="I655" i="1"/>
  <c r="D655" i="1"/>
  <c r="I654" i="1"/>
  <c r="D654" i="1"/>
  <c r="I653" i="1"/>
  <c r="D653" i="1"/>
  <c r="I652" i="1"/>
  <c r="D652" i="1"/>
  <c r="I651" i="1"/>
  <c r="D651" i="1"/>
  <c r="I650" i="1"/>
  <c r="D650" i="1"/>
  <c r="I649" i="1"/>
  <c r="D649" i="1"/>
  <c r="I648" i="1"/>
  <c r="D648" i="1"/>
  <c r="I647" i="1"/>
  <c r="D647" i="1"/>
  <c r="I646" i="1"/>
  <c r="D646" i="1"/>
  <c r="I645" i="1"/>
  <c r="D645" i="1"/>
  <c r="I644" i="1"/>
  <c r="D644" i="1"/>
  <c r="I643" i="1"/>
  <c r="D643" i="1"/>
  <c r="I642" i="1"/>
  <c r="D642" i="1"/>
  <c r="I641" i="1"/>
  <c r="D641" i="1"/>
  <c r="I640" i="1"/>
  <c r="D640" i="1"/>
  <c r="I639" i="1"/>
  <c r="D639" i="1"/>
  <c r="I638" i="1"/>
  <c r="D638" i="1"/>
  <c r="I637" i="1"/>
  <c r="D637" i="1"/>
  <c r="I636" i="1"/>
  <c r="D636" i="1"/>
  <c r="I635" i="1"/>
  <c r="D635" i="1"/>
  <c r="I634" i="1"/>
  <c r="D634" i="1"/>
  <c r="I633" i="1"/>
  <c r="D633" i="1"/>
  <c r="I632" i="1"/>
  <c r="D632" i="1"/>
  <c r="I631" i="1"/>
  <c r="D631" i="1"/>
  <c r="I630" i="1"/>
  <c r="D630" i="1"/>
  <c r="I629" i="1"/>
  <c r="D629" i="1"/>
  <c r="I628" i="1"/>
  <c r="D628" i="1"/>
  <c r="I627" i="1"/>
  <c r="D627" i="1"/>
  <c r="I626" i="1"/>
  <c r="D626" i="1"/>
  <c r="I625" i="1"/>
  <c r="D625" i="1"/>
  <c r="I624" i="1"/>
  <c r="D624" i="1"/>
  <c r="I623" i="1"/>
  <c r="D623" i="1"/>
  <c r="I622" i="1"/>
  <c r="D622" i="1"/>
  <c r="I621" i="1"/>
  <c r="D621" i="1"/>
  <c r="I620" i="1"/>
  <c r="D620" i="1"/>
  <c r="I619" i="1"/>
  <c r="D619" i="1"/>
  <c r="I618" i="1"/>
  <c r="D618" i="1"/>
  <c r="I617" i="1"/>
  <c r="D617" i="1"/>
  <c r="I616" i="1"/>
  <c r="D616" i="1"/>
  <c r="I615" i="1"/>
  <c r="D615" i="1"/>
  <c r="I614" i="1"/>
  <c r="D614" i="1"/>
  <c r="I613" i="1"/>
  <c r="D613" i="1"/>
  <c r="I612" i="1"/>
  <c r="D612" i="1"/>
  <c r="I611" i="1"/>
  <c r="D611" i="1"/>
  <c r="I610" i="1"/>
  <c r="D610" i="1"/>
  <c r="I609" i="1"/>
  <c r="D609" i="1"/>
  <c r="I608" i="1"/>
  <c r="D608" i="1"/>
  <c r="I607" i="1"/>
  <c r="D607" i="1"/>
  <c r="I606" i="1"/>
  <c r="D606" i="1"/>
  <c r="I605" i="1"/>
  <c r="D605" i="1"/>
  <c r="I604" i="1"/>
  <c r="D604" i="1"/>
  <c r="I603" i="1"/>
  <c r="D603" i="1"/>
  <c r="I602" i="1"/>
  <c r="D602" i="1"/>
  <c r="I601" i="1"/>
  <c r="D601" i="1"/>
  <c r="I600" i="1"/>
  <c r="D600" i="1"/>
  <c r="I599" i="1"/>
  <c r="D599" i="1"/>
  <c r="I598" i="1"/>
  <c r="D598" i="1"/>
  <c r="I597" i="1"/>
  <c r="D597" i="1"/>
  <c r="I596" i="1"/>
  <c r="D596" i="1"/>
  <c r="I595" i="1"/>
  <c r="D595" i="1"/>
  <c r="I594" i="1"/>
  <c r="D594" i="1"/>
  <c r="I593" i="1"/>
  <c r="D593" i="1"/>
  <c r="I592" i="1"/>
  <c r="D592" i="1"/>
  <c r="I591" i="1"/>
  <c r="D591" i="1"/>
  <c r="I590" i="1"/>
  <c r="D590" i="1"/>
  <c r="I589" i="1"/>
  <c r="D589" i="1"/>
  <c r="I588" i="1"/>
  <c r="D588" i="1"/>
  <c r="I587" i="1"/>
  <c r="D587" i="1"/>
  <c r="I586" i="1"/>
  <c r="D586" i="1"/>
  <c r="I585" i="1"/>
  <c r="D585" i="1"/>
  <c r="I584" i="1"/>
  <c r="D584" i="1"/>
  <c r="I583" i="1"/>
  <c r="D583" i="1"/>
  <c r="I582" i="1"/>
  <c r="D582" i="1"/>
  <c r="I581" i="1"/>
  <c r="D581" i="1"/>
  <c r="I580" i="1"/>
  <c r="D580" i="1"/>
  <c r="I579" i="1"/>
  <c r="D579" i="1"/>
  <c r="I578" i="1"/>
  <c r="D578" i="1"/>
  <c r="I577" i="1"/>
  <c r="D577" i="1"/>
  <c r="I576" i="1"/>
  <c r="D576" i="1"/>
  <c r="I575" i="1"/>
  <c r="D575" i="1"/>
  <c r="I574" i="1"/>
  <c r="D574" i="1"/>
  <c r="I573" i="1"/>
  <c r="D573" i="1"/>
  <c r="I572" i="1"/>
  <c r="D572" i="1"/>
  <c r="I571" i="1"/>
  <c r="D571" i="1"/>
  <c r="I570" i="1"/>
  <c r="D570" i="1"/>
  <c r="I569" i="1"/>
  <c r="D569" i="1"/>
  <c r="I568" i="1"/>
  <c r="D568" i="1"/>
  <c r="I567" i="1"/>
  <c r="D567" i="1"/>
  <c r="I566" i="1"/>
  <c r="D566" i="1"/>
  <c r="I565" i="1"/>
  <c r="D565" i="1"/>
  <c r="I564" i="1"/>
  <c r="D564" i="1"/>
  <c r="I563" i="1"/>
  <c r="D563" i="1"/>
  <c r="I562" i="1"/>
  <c r="D562" i="1"/>
  <c r="I561" i="1"/>
  <c r="D561" i="1"/>
  <c r="I560" i="1"/>
  <c r="D560" i="1"/>
  <c r="I559" i="1"/>
  <c r="D559" i="1"/>
  <c r="I558" i="1"/>
  <c r="D558" i="1"/>
  <c r="I557" i="1"/>
  <c r="D557" i="1"/>
  <c r="I556" i="1"/>
  <c r="D556" i="1"/>
  <c r="I555" i="1"/>
  <c r="D555" i="1"/>
  <c r="I554" i="1"/>
  <c r="D554" i="1"/>
  <c r="I553" i="1"/>
  <c r="D553" i="1"/>
  <c r="I552" i="1"/>
  <c r="D552" i="1"/>
  <c r="I551" i="1"/>
  <c r="D551" i="1"/>
  <c r="I550" i="1"/>
  <c r="D550" i="1"/>
  <c r="I549" i="1"/>
  <c r="D549" i="1"/>
  <c r="I548" i="1"/>
  <c r="D548" i="1"/>
  <c r="I547" i="1"/>
  <c r="D547" i="1"/>
  <c r="I546" i="1"/>
  <c r="D546" i="1"/>
  <c r="I545" i="1"/>
  <c r="D545" i="1"/>
  <c r="I544" i="1"/>
  <c r="D544" i="1"/>
  <c r="I543" i="1"/>
  <c r="D543" i="1"/>
  <c r="I542" i="1"/>
  <c r="D542" i="1"/>
  <c r="I541" i="1"/>
  <c r="D541" i="1"/>
  <c r="I540" i="1"/>
  <c r="D540" i="1"/>
  <c r="I539" i="1"/>
  <c r="D539" i="1"/>
  <c r="I538" i="1"/>
  <c r="D538" i="1"/>
  <c r="I537" i="1"/>
  <c r="D537" i="1"/>
  <c r="I536" i="1"/>
  <c r="D536" i="1"/>
  <c r="I535" i="1"/>
  <c r="D535" i="1"/>
  <c r="I534" i="1"/>
  <c r="D534" i="1"/>
  <c r="I533" i="1"/>
  <c r="D533" i="1"/>
  <c r="I532" i="1"/>
  <c r="D532" i="1"/>
  <c r="I531" i="1"/>
  <c r="D531" i="1"/>
  <c r="I530" i="1"/>
  <c r="D530" i="1"/>
  <c r="I529" i="1"/>
  <c r="D529" i="1"/>
  <c r="I528" i="1"/>
  <c r="D528" i="1"/>
  <c r="I527" i="1"/>
  <c r="D527" i="1"/>
  <c r="I526" i="1"/>
  <c r="D526" i="1"/>
  <c r="I525" i="1"/>
  <c r="D525" i="1"/>
  <c r="I524" i="1"/>
  <c r="D524" i="1"/>
  <c r="I523" i="1"/>
  <c r="D523" i="1"/>
  <c r="I522" i="1"/>
  <c r="D522" i="1"/>
  <c r="I521" i="1"/>
  <c r="D521" i="1"/>
  <c r="I520" i="1"/>
  <c r="D520" i="1"/>
  <c r="I519" i="1"/>
  <c r="D519" i="1"/>
  <c r="I518" i="1"/>
  <c r="D518" i="1"/>
  <c r="I517" i="1"/>
  <c r="D517" i="1"/>
  <c r="I516" i="1"/>
  <c r="D516" i="1"/>
  <c r="I515" i="1"/>
  <c r="D515" i="1"/>
  <c r="I514" i="1"/>
  <c r="D514" i="1"/>
  <c r="I513" i="1"/>
  <c r="D513" i="1"/>
  <c r="I512" i="1"/>
  <c r="D512" i="1"/>
  <c r="I511" i="1"/>
  <c r="D511" i="1"/>
  <c r="I510" i="1"/>
  <c r="D510" i="1"/>
  <c r="I509" i="1"/>
  <c r="D509" i="1"/>
  <c r="I508" i="1"/>
  <c r="D508" i="1"/>
  <c r="I507" i="1"/>
  <c r="D507" i="1"/>
  <c r="I506" i="1"/>
  <c r="D506" i="1"/>
  <c r="I505" i="1"/>
  <c r="D505" i="1"/>
  <c r="I504" i="1"/>
  <c r="D504" i="1"/>
  <c r="I503" i="1"/>
  <c r="D503" i="1"/>
  <c r="I502" i="1"/>
  <c r="D502" i="1"/>
  <c r="I501" i="1"/>
  <c r="D501" i="1"/>
  <c r="I500" i="1"/>
  <c r="D500" i="1"/>
  <c r="I499" i="1"/>
  <c r="D499" i="1"/>
  <c r="I498" i="1"/>
  <c r="D498" i="1"/>
  <c r="I497" i="1"/>
  <c r="D497" i="1"/>
  <c r="I496" i="1"/>
  <c r="D496" i="1"/>
  <c r="I495" i="1"/>
  <c r="D495" i="1"/>
  <c r="I494" i="1"/>
  <c r="D494" i="1"/>
  <c r="I493" i="1"/>
  <c r="D493" i="1"/>
  <c r="I492" i="1"/>
  <c r="D492" i="1"/>
  <c r="I491" i="1"/>
  <c r="D491" i="1"/>
  <c r="I490" i="1"/>
  <c r="D490" i="1"/>
  <c r="I489" i="1"/>
  <c r="D489" i="1"/>
  <c r="I488" i="1"/>
  <c r="D488" i="1"/>
  <c r="I487" i="1"/>
  <c r="D487" i="1"/>
  <c r="I486" i="1"/>
  <c r="D486" i="1"/>
  <c r="I485" i="1"/>
  <c r="D485" i="1"/>
  <c r="I484" i="1"/>
  <c r="D484" i="1"/>
  <c r="I483" i="1"/>
  <c r="D483" i="1"/>
  <c r="I482" i="1"/>
  <c r="D482" i="1"/>
  <c r="I481" i="1"/>
  <c r="D481" i="1"/>
  <c r="I480" i="1"/>
  <c r="D480" i="1"/>
  <c r="I479" i="1"/>
  <c r="D479" i="1"/>
  <c r="I478" i="1"/>
  <c r="D478" i="1"/>
  <c r="I477" i="1"/>
  <c r="D477" i="1"/>
  <c r="I476" i="1"/>
  <c r="D476" i="1"/>
  <c r="I475" i="1"/>
  <c r="D475" i="1"/>
  <c r="I474" i="1"/>
  <c r="D474" i="1"/>
  <c r="I473" i="1"/>
  <c r="D473" i="1"/>
  <c r="I472" i="1"/>
  <c r="D472" i="1"/>
  <c r="I471" i="1"/>
  <c r="D471" i="1"/>
  <c r="I470" i="1"/>
  <c r="D470" i="1"/>
  <c r="I469" i="1"/>
  <c r="D469" i="1"/>
  <c r="I468" i="1"/>
  <c r="D468" i="1"/>
  <c r="I467" i="1"/>
  <c r="D467" i="1"/>
  <c r="I466" i="1"/>
  <c r="D466" i="1"/>
  <c r="I465" i="1"/>
  <c r="D465" i="1"/>
  <c r="I464" i="1"/>
  <c r="D464" i="1"/>
  <c r="I463" i="1"/>
  <c r="D463" i="1"/>
  <c r="I462" i="1"/>
  <c r="D462" i="1"/>
  <c r="I461" i="1"/>
  <c r="D461" i="1"/>
  <c r="I460" i="1"/>
  <c r="D460" i="1"/>
  <c r="I459" i="1"/>
  <c r="D459" i="1"/>
  <c r="I458" i="1"/>
  <c r="D458" i="1"/>
  <c r="I457" i="1"/>
  <c r="D457" i="1"/>
  <c r="I456" i="1"/>
  <c r="D456" i="1"/>
  <c r="I455" i="1"/>
  <c r="D455" i="1"/>
  <c r="I454" i="1"/>
  <c r="D454" i="1"/>
  <c r="I453" i="1"/>
  <c r="D453" i="1"/>
  <c r="I452" i="1"/>
  <c r="D452" i="1"/>
  <c r="I451" i="1"/>
  <c r="D451" i="1"/>
  <c r="I450" i="1"/>
  <c r="D450" i="1"/>
  <c r="I449" i="1"/>
  <c r="D449" i="1"/>
  <c r="I448" i="1"/>
  <c r="D448" i="1"/>
  <c r="I447" i="1"/>
  <c r="D447" i="1"/>
  <c r="I446" i="1"/>
  <c r="D446" i="1"/>
  <c r="I445" i="1"/>
  <c r="D445" i="1"/>
  <c r="I444" i="1"/>
  <c r="D444" i="1"/>
  <c r="I443" i="1"/>
  <c r="D443" i="1"/>
  <c r="I442" i="1"/>
  <c r="D442" i="1"/>
  <c r="I441" i="1"/>
  <c r="D441" i="1"/>
  <c r="I440" i="1"/>
  <c r="D440" i="1"/>
  <c r="I439" i="1"/>
  <c r="D439" i="1"/>
  <c r="I438" i="1"/>
  <c r="D438" i="1"/>
  <c r="I437" i="1"/>
  <c r="D437" i="1"/>
  <c r="I436" i="1"/>
  <c r="D436" i="1"/>
  <c r="I435" i="1"/>
  <c r="D435" i="1"/>
  <c r="I434" i="1"/>
  <c r="D434" i="1"/>
  <c r="I433" i="1"/>
  <c r="D433" i="1"/>
  <c r="I432" i="1"/>
  <c r="D432" i="1"/>
  <c r="I431" i="1"/>
  <c r="D431" i="1"/>
  <c r="I430" i="1"/>
  <c r="D430" i="1"/>
  <c r="I429" i="1"/>
  <c r="D429" i="1"/>
  <c r="I428" i="1"/>
  <c r="D428" i="1"/>
  <c r="I427" i="1"/>
  <c r="D427" i="1"/>
  <c r="I426" i="1"/>
  <c r="D426" i="1"/>
  <c r="I425" i="1"/>
  <c r="D425" i="1"/>
  <c r="I424" i="1"/>
  <c r="D424" i="1"/>
  <c r="I423" i="1"/>
  <c r="D423" i="1"/>
  <c r="I422" i="1"/>
  <c r="D422" i="1"/>
  <c r="I421" i="1"/>
  <c r="D421" i="1"/>
  <c r="I420" i="1"/>
  <c r="D420" i="1"/>
  <c r="I419" i="1"/>
  <c r="D419" i="1"/>
  <c r="I418" i="1"/>
  <c r="D418" i="1"/>
  <c r="I417" i="1"/>
  <c r="D417" i="1"/>
  <c r="I416" i="1"/>
  <c r="D416" i="1"/>
  <c r="I415" i="1"/>
  <c r="D415" i="1"/>
  <c r="I414" i="1"/>
  <c r="D414" i="1"/>
  <c r="I413" i="1"/>
  <c r="D413" i="1"/>
  <c r="I412" i="1"/>
  <c r="D412" i="1"/>
  <c r="I411" i="1"/>
  <c r="D411" i="1"/>
  <c r="I410" i="1"/>
  <c r="D410" i="1"/>
  <c r="I409" i="1"/>
  <c r="D409" i="1"/>
  <c r="I408" i="1"/>
  <c r="D408" i="1"/>
  <c r="I407" i="1"/>
  <c r="D407" i="1"/>
  <c r="I406" i="1"/>
  <c r="D406" i="1"/>
  <c r="I405" i="1"/>
  <c r="D405" i="1"/>
  <c r="I404" i="1"/>
  <c r="D404" i="1"/>
  <c r="I403" i="1"/>
  <c r="D403" i="1"/>
  <c r="I402" i="1"/>
  <c r="D402" i="1"/>
  <c r="I401" i="1"/>
  <c r="D401" i="1"/>
  <c r="I400" i="1"/>
  <c r="D400" i="1"/>
  <c r="I399" i="1"/>
  <c r="D399" i="1"/>
  <c r="I398" i="1"/>
  <c r="D398" i="1"/>
  <c r="I397" i="1"/>
  <c r="D397" i="1"/>
  <c r="I396" i="1"/>
  <c r="D396" i="1"/>
  <c r="I395" i="1"/>
  <c r="D395" i="1"/>
  <c r="I394" i="1"/>
  <c r="D394" i="1"/>
  <c r="I393" i="1"/>
  <c r="D393" i="1"/>
  <c r="I392" i="1"/>
  <c r="D392" i="1"/>
  <c r="I391" i="1"/>
  <c r="D391" i="1"/>
  <c r="I390" i="1"/>
  <c r="D390" i="1"/>
  <c r="I389" i="1"/>
  <c r="D389" i="1"/>
  <c r="I388" i="1"/>
  <c r="D388" i="1"/>
  <c r="I387" i="1"/>
  <c r="D387" i="1"/>
  <c r="I386" i="1"/>
  <c r="D386" i="1"/>
  <c r="I385" i="1"/>
  <c r="D385" i="1"/>
  <c r="I384" i="1"/>
  <c r="D384" i="1"/>
  <c r="I383" i="1"/>
  <c r="D383" i="1"/>
  <c r="I382" i="1"/>
  <c r="D382" i="1"/>
  <c r="I381" i="1"/>
  <c r="D381" i="1"/>
  <c r="I380" i="1"/>
  <c r="D380" i="1"/>
  <c r="I379" i="1"/>
  <c r="D379" i="1"/>
  <c r="I378" i="1"/>
  <c r="D378" i="1"/>
  <c r="I377" i="1"/>
  <c r="D377" i="1"/>
  <c r="I376" i="1"/>
  <c r="D376" i="1"/>
  <c r="I375" i="1"/>
  <c r="D375" i="1"/>
  <c r="I374" i="1"/>
  <c r="D374" i="1"/>
  <c r="I373" i="1"/>
  <c r="D373" i="1"/>
  <c r="I372" i="1"/>
  <c r="D372" i="1"/>
  <c r="I371" i="1"/>
  <c r="D371" i="1"/>
  <c r="I370" i="1"/>
  <c r="D370" i="1"/>
  <c r="I369" i="1"/>
  <c r="D369" i="1"/>
  <c r="I368" i="1"/>
  <c r="D368" i="1"/>
  <c r="I367" i="1"/>
  <c r="D367" i="1"/>
  <c r="I366" i="1"/>
  <c r="D366" i="1"/>
  <c r="I365" i="1"/>
  <c r="D365" i="1"/>
  <c r="I364" i="1"/>
  <c r="D364" i="1"/>
  <c r="I363" i="1"/>
  <c r="D363" i="1"/>
  <c r="I362" i="1"/>
  <c r="D362" i="1"/>
  <c r="I361" i="1"/>
  <c r="D361" i="1"/>
  <c r="I360" i="1"/>
  <c r="D360" i="1"/>
  <c r="I359" i="1"/>
  <c r="D359" i="1"/>
  <c r="I358" i="1"/>
  <c r="D358" i="1"/>
  <c r="I357" i="1"/>
  <c r="D357" i="1"/>
  <c r="I356" i="1"/>
  <c r="D356" i="1"/>
  <c r="I355" i="1"/>
  <c r="D355" i="1"/>
  <c r="I354" i="1"/>
  <c r="D354" i="1"/>
  <c r="I353" i="1"/>
  <c r="D353" i="1"/>
  <c r="I352" i="1"/>
  <c r="D352" i="1"/>
  <c r="I351" i="1"/>
  <c r="D351" i="1"/>
  <c r="I350" i="1"/>
  <c r="D350" i="1"/>
  <c r="I349" i="1"/>
  <c r="D349" i="1"/>
  <c r="I348" i="1"/>
  <c r="D348" i="1"/>
  <c r="I347" i="1"/>
  <c r="D347" i="1"/>
  <c r="I346" i="1"/>
  <c r="D346" i="1"/>
  <c r="I345" i="1"/>
  <c r="D345" i="1"/>
  <c r="I344" i="1"/>
  <c r="D344" i="1"/>
  <c r="I343" i="1"/>
  <c r="D343" i="1"/>
  <c r="I342" i="1"/>
  <c r="D342" i="1"/>
  <c r="I341" i="1"/>
  <c r="D341" i="1"/>
  <c r="I340" i="1"/>
  <c r="D340" i="1"/>
  <c r="I339" i="1"/>
  <c r="D339" i="1"/>
  <c r="I338" i="1"/>
  <c r="D338" i="1"/>
  <c r="I337" i="1"/>
  <c r="D337" i="1"/>
  <c r="I336" i="1"/>
  <c r="D336" i="1"/>
  <c r="I335" i="1"/>
  <c r="D335" i="1"/>
  <c r="I334" i="1"/>
  <c r="D334" i="1"/>
  <c r="I333" i="1"/>
  <c r="D333" i="1"/>
  <c r="I332" i="1"/>
  <c r="D332" i="1"/>
  <c r="I331" i="1"/>
  <c r="D331" i="1"/>
  <c r="I330" i="1"/>
  <c r="D330" i="1"/>
  <c r="I329" i="1"/>
  <c r="D329" i="1"/>
  <c r="I328" i="1"/>
  <c r="D328" i="1"/>
  <c r="I327" i="1"/>
  <c r="D327" i="1"/>
  <c r="I326" i="1"/>
  <c r="D326" i="1"/>
  <c r="I325" i="1"/>
  <c r="D325" i="1"/>
  <c r="I324" i="1"/>
  <c r="D324" i="1"/>
  <c r="I323" i="1"/>
  <c r="D323" i="1"/>
  <c r="I322" i="1"/>
  <c r="D322" i="1"/>
  <c r="I321" i="1"/>
  <c r="D321" i="1"/>
  <c r="I320" i="1"/>
  <c r="D320" i="1"/>
  <c r="I319" i="1"/>
  <c r="D319" i="1"/>
  <c r="I318" i="1"/>
  <c r="D318" i="1"/>
  <c r="I317" i="1"/>
  <c r="D317" i="1"/>
  <c r="I316" i="1"/>
  <c r="D316" i="1"/>
  <c r="I315" i="1"/>
  <c r="D315" i="1"/>
  <c r="I314" i="1"/>
  <c r="D314" i="1"/>
  <c r="I313" i="1"/>
  <c r="D313" i="1"/>
  <c r="I312" i="1"/>
  <c r="D312" i="1"/>
  <c r="I311" i="1"/>
  <c r="D311" i="1"/>
  <c r="I310" i="1"/>
  <c r="D310" i="1"/>
  <c r="I309" i="1"/>
  <c r="D309" i="1"/>
  <c r="I308" i="1"/>
  <c r="D308" i="1"/>
  <c r="I307" i="1"/>
  <c r="D307" i="1"/>
  <c r="I306" i="1"/>
  <c r="D306" i="1"/>
  <c r="I305" i="1"/>
  <c r="D305" i="1"/>
  <c r="I304" i="1"/>
  <c r="D304" i="1"/>
  <c r="I303" i="1"/>
  <c r="D303" i="1"/>
  <c r="I302" i="1"/>
  <c r="D302" i="1"/>
  <c r="I301" i="1"/>
  <c r="D301" i="1"/>
  <c r="I300" i="1"/>
  <c r="D300" i="1"/>
  <c r="I299" i="1"/>
  <c r="D299" i="1"/>
  <c r="I298" i="1"/>
  <c r="D298" i="1"/>
  <c r="I297" i="1"/>
  <c r="D297" i="1"/>
  <c r="I296" i="1"/>
  <c r="D296" i="1"/>
  <c r="I295" i="1"/>
  <c r="D295" i="1"/>
  <c r="I294" i="1"/>
  <c r="D294" i="1"/>
  <c r="I293" i="1"/>
  <c r="D293" i="1"/>
  <c r="I292" i="1"/>
  <c r="D292" i="1"/>
  <c r="I291" i="1"/>
  <c r="D291" i="1"/>
  <c r="I290" i="1"/>
  <c r="D290" i="1"/>
  <c r="I289" i="1"/>
  <c r="D289" i="1"/>
  <c r="I288" i="1"/>
  <c r="D288" i="1"/>
  <c r="I287" i="1"/>
  <c r="D287" i="1"/>
  <c r="I286" i="1"/>
  <c r="D286" i="1"/>
  <c r="I285" i="1"/>
  <c r="D285" i="1"/>
  <c r="I284" i="1"/>
  <c r="D284" i="1"/>
  <c r="I283" i="1"/>
  <c r="D283" i="1"/>
  <c r="I282" i="1"/>
  <c r="D282" i="1"/>
  <c r="I281" i="1"/>
  <c r="D281" i="1"/>
  <c r="I280" i="1"/>
  <c r="D280" i="1"/>
  <c r="I279" i="1"/>
  <c r="D279" i="1"/>
  <c r="I278" i="1"/>
  <c r="D278" i="1"/>
  <c r="I277" i="1"/>
  <c r="D277" i="1"/>
  <c r="I276" i="1"/>
  <c r="D276" i="1"/>
  <c r="I275" i="1"/>
  <c r="D275" i="1"/>
  <c r="I274" i="1"/>
  <c r="D274" i="1"/>
  <c r="I273" i="1"/>
  <c r="D273" i="1"/>
  <c r="I272" i="1"/>
  <c r="D272" i="1"/>
  <c r="I271" i="1"/>
  <c r="D271" i="1"/>
  <c r="I270" i="1"/>
  <c r="D270" i="1"/>
  <c r="I269" i="1"/>
  <c r="D269" i="1"/>
  <c r="I268" i="1"/>
  <c r="D268" i="1"/>
  <c r="I267" i="1"/>
  <c r="D267" i="1"/>
  <c r="I266" i="1"/>
  <c r="D266" i="1"/>
  <c r="D265" i="1"/>
  <c r="I264" i="1"/>
  <c r="D264" i="1"/>
  <c r="I263" i="1"/>
  <c r="D263" i="1"/>
  <c r="I262" i="1"/>
  <c r="D262" i="1"/>
  <c r="I261" i="1"/>
  <c r="D261" i="1"/>
  <c r="I260" i="1"/>
  <c r="D260" i="1"/>
  <c r="I259" i="1"/>
  <c r="D259" i="1"/>
  <c r="I258" i="1"/>
  <c r="D258" i="1"/>
  <c r="I257" i="1"/>
  <c r="D257" i="1"/>
  <c r="I256" i="1"/>
  <c r="D256" i="1"/>
  <c r="I255" i="1"/>
  <c r="D255" i="1"/>
  <c r="I254" i="1"/>
  <c r="D254" i="1"/>
  <c r="I253" i="1"/>
  <c r="D253" i="1"/>
  <c r="I252" i="1"/>
  <c r="D252" i="1"/>
  <c r="I251" i="1"/>
  <c r="D251" i="1"/>
  <c r="I250" i="1"/>
  <c r="D250" i="1"/>
  <c r="I249" i="1"/>
  <c r="D249" i="1"/>
  <c r="I248" i="1"/>
  <c r="D248" i="1"/>
  <c r="I247" i="1"/>
  <c r="D247" i="1"/>
  <c r="I246" i="1"/>
  <c r="D246" i="1"/>
  <c r="I245" i="1"/>
  <c r="D245" i="1"/>
  <c r="I244" i="1"/>
  <c r="D244" i="1"/>
  <c r="I243" i="1"/>
  <c r="D243" i="1"/>
  <c r="I242" i="1"/>
  <c r="D242" i="1"/>
  <c r="I241" i="1"/>
  <c r="D241" i="1"/>
  <c r="I240" i="1"/>
  <c r="D240" i="1"/>
  <c r="I239" i="1"/>
  <c r="D239" i="1"/>
  <c r="I238" i="1"/>
  <c r="D238" i="1"/>
  <c r="I237" i="1"/>
  <c r="D237" i="1"/>
  <c r="I236" i="1"/>
  <c r="D236" i="1"/>
  <c r="I235" i="1"/>
  <c r="D235" i="1"/>
  <c r="I234" i="1"/>
  <c r="D234" i="1"/>
  <c r="I233" i="1"/>
  <c r="D233" i="1"/>
  <c r="I232" i="1"/>
  <c r="D232" i="1"/>
  <c r="I231" i="1"/>
  <c r="D231" i="1"/>
  <c r="I230" i="1"/>
  <c r="D230" i="1"/>
  <c r="I229" i="1"/>
  <c r="D229" i="1"/>
  <c r="I228" i="1"/>
  <c r="D228" i="1"/>
  <c r="I227" i="1"/>
  <c r="D227" i="1"/>
  <c r="I226" i="1"/>
  <c r="D226" i="1"/>
  <c r="I225" i="1"/>
  <c r="D225" i="1"/>
  <c r="I224" i="1"/>
  <c r="D224" i="1"/>
  <c r="I223" i="1"/>
  <c r="D223" i="1"/>
  <c r="I222" i="1"/>
  <c r="D222" i="1"/>
  <c r="I221" i="1"/>
  <c r="D221" i="1"/>
  <c r="I220" i="1"/>
  <c r="D220" i="1"/>
  <c r="I219" i="1"/>
  <c r="D219" i="1"/>
  <c r="I218" i="1"/>
  <c r="D218" i="1"/>
  <c r="I217" i="1"/>
  <c r="D217" i="1"/>
  <c r="I216" i="1"/>
  <c r="D216" i="1"/>
  <c r="I215" i="1"/>
  <c r="D215" i="1"/>
  <c r="I214" i="1"/>
  <c r="D214" i="1"/>
  <c r="I213" i="1"/>
  <c r="D213" i="1"/>
  <c r="I212" i="1"/>
  <c r="D212" i="1"/>
  <c r="I211" i="1"/>
  <c r="D211" i="1"/>
  <c r="I210" i="1"/>
  <c r="D210" i="1"/>
  <c r="I209" i="1"/>
  <c r="D209" i="1"/>
  <c r="I208" i="1"/>
  <c r="D208" i="1"/>
  <c r="I207" i="1"/>
  <c r="D207" i="1"/>
  <c r="I206" i="1"/>
  <c r="D206" i="1"/>
  <c r="I205" i="1"/>
  <c r="D205" i="1"/>
  <c r="I204" i="1"/>
  <c r="D204" i="1"/>
  <c r="I203" i="1"/>
  <c r="D203" i="1"/>
  <c r="I202" i="1"/>
  <c r="D202" i="1"/>
  <c r="I201" i="1"/>
  <c r="D201" i="1"/>
  <c r="I200" i="1"/>
  <c r="D200" i="1"/>
  <c r="I199" i="1"/>
  <c r="D199" i="1"/>
  <c r="I198" i="1"/>
  <c r="D198" i="1"/>
  <c r="I197" i="1"/>
  <c r="D197" i="1"/>
  <c r="I196" i="1"/>
  <c r="D196" i="1"/>
  <c r="I195" i="1"/>
  <c r="D195" i="1"/>
  <c r="I194" i="1"/>
  <c r="D194" i="1"/>
  <c r="I193" i="1"/>
  <c r="D193" i="1"/>
  <c r="I192" i="1"/>
  <c r="D192" i="1"/>
  <c r="I191" i="1"/>
  <c r="D191" i="1"/>
  <c r="I190" i="1"/>
  <c r="D190" i="1"/>
  <c r="I189" i="1"/>
  <c r="D189" i="1"/>
  <c r="I188" i="1"/>
  <c r="D188" i="1"/>
  <c r="I187" i="1"/>
  <c r="D187" i="1"/>
  <c r="I186" i="1"/>
  <c r="D186" i="1"/>
  <c r="I185" i="1"/>
  <c r="D185" i="1"/>
  <c r="I184" i="1"/>
  <c r="D184" i="1"/>
  <c r="I183" i="1"/>
  <c r="D183" i="1"/>
  <c r="I182" i="1"/>
  <c r="D182" i="1"/>
  <c r="I181" i="1"/>
  <c r="D181" i="1"/>
  <c r="I180" i="1"/>
  <c r="D180" i="1"/>
  <c r="I179" i="1"/>
  <c r="D179" i="1"/>
  <c r="I178" i="1"/>
  <c r="D178" i="1"/>
  <c r="I177" i="1"/>
  <c r="D177" i="1"/>
  <c r="I176" i="1"/>
  <c r="D176" i="1"/>
  <c r="I175" i="1"/>
  <c r="D175" i="1"/>
  <c r="I174" i="1"/>
  <c r="D174" i="1"/>
  <c r="I173" i="1"/>
  <c r="D173" i="1"/>
  <c r="I172" i="1"/>
  <c r="D172" i="1"/>
  <c r="I171" i="1"/>
  <c r="D171" i="1"/>
  <c r="I170" i="1"/>
  <c r="D170" i="1"/>
  <c r="I169" i="1"/>
  <c r="D169" i="1"/>
  <c r="I168" i="1"/>
  <c r="D168" i="1"/>
  <c r="I167" i="1"/>
  <c r="D167" i="1"/>
  <c r="I166" i="1"/>
  <c r="D166" i="1"/>
  <c r="I165" i="1"/>
  <c r="D165" i="1"/>
  <c r="I164" i="1"/>
  <c r="D164" i="1"/>
  <c r="I163" i="1"/>
  <c r="D163" i="1"/>
  <c r="I162" i="1"/>
  <c r="D162" i="1"/>
  <c r="I161" i="1"/>
  <c r="D161" i="1"/>
  <c r="I160" i="1"/>
  <c r="D160" i="1"/>
  <c r="I159" i="1"/>
  <c r="D159" i="1"/>
  <c r="I158" i="1"/>
  <c r="D158" i="1"/>
  <c r="I157" i="1"/>
  <c r="D157" i="1"/>
  <c r="I156" i="1"/>
  <c r="D156" i="1"/>
  <c r="I155" i="1"/>
  <c r="D155" i="1"/>
  <c r="I154" i="1"/>
  <c r="D154" i="1"/>
  <c r="I153" i="1"/>
  <c r="D153" i="1"/>
  <c r="I152" i="1"/>
  <c r="D152" i="1"/>
  <c r="I151" i="1"/>
  <c r="D151" i="1"/>
  <c r="I150" i="1"/>
  <c r="D150" i="1"/>
  <c r="I149" i="1"/>
  <c r="D149" i="1"/>
  <c r="I148" i="1"/>
  <c r="D148" i="1"/>
  <c r="I147" i="1"/>
  <c r="D147" i="1"/>
  <c r="I146" i="1"/>
  <c r="D146" i="1"/>
  <c r="I145" i="1"/>
  <c r="D145" i="1"/>
  <c r="I144" i="1"/>
  <c r="D144" i="1"/>
  <c r="I143" i="1"/>
  <c r="D143" i="1"/>
  <c r="I142" i="1"/>
  <c r="D142" i="1"/>
  <c r="I141" i="1"/>
  <c r="D141" i="1"/>
  <c r="I140" i="1"/>
  <c r="D140" i="1"/>
  <c r="I139" i="1"/>
  <c r="D139" i="1"/>
  <c r="I138" i="1"/>
  <c r="D138" i="1"/>
  <c r="I137" i="1"/>
  <c r="D137" i="1"/>
  <c r="I136" i="1"/>
  <c r="D136" i="1"/>
  <c r="I135" i="1"/>
  <c r="D135" i="1"/>
  <c r="I134" i="1"/>
  <c r="D134" i="1"/>
  <c r="I133" i="1"/>
  <c r="D133" i="1"/>
  <c r="I132" i="1"/>
  <c r="D132" i="1"/>
  <c r="I131" i="1"/>
  <c r="D131" i="1"/>
  <c r="I130" i="1"/>
  <c r="D130" i="1"/>
  <c r="I129" i="1"/>
  <c r="D129" i="1"/>
  <c r="I128" i="1"/>
  <c r="D128" i="1"/>
  <c r="I127" i="1"/>
  <c r="D127" i="1"/>
  <c r="I126" i="1"/>
  <c r="D126" i="1"/>
  <c r="I125" i="1"/>
  <c r="D125" i="1"/>
  <c r="I124" i="1"/>
  <c r="D124" i="1"/>
  <c r="I123" i="1"/>
  <c r="D123" i="1"/>
  <c r="I122" i="1"/>
  <c r="D122" i="1"/>
  <c r="I121" i="1"/>
  <c r="D121" i="1"/>
  <c r="I120" i="1"/>
  <c r="D120" i="1"/>
  <c r="I119" i="1"/>
  <c r="D119" i="1"/>
  <c r="I118" i="1"/>
  <c r="D118" i="1"/>
  <c r="I117" i="1"/>
  <c r="D117" i="1"/>
  <c r="I116" i="1"/>
  <c r="D116" i="1"/>
  <c r="I115" i="1"/>
  <c r="D115" i="1"/>
  <c r="I114" i="1"/>
  <c r="D114" i="1"/>
  <c r="I113" i="1"/>
  <c r="D113" i="1"/>
  <c r="I112" i="1"/>
  <c r="D112" i="1"/>
  <c r="I111" i="1"/>
  <c r="D111" i="1"/>
  <c r="I110" i="1"/>
  <c r="D110" i="1"/>
  <c r="I109" i="1"/>
  <c r="D109" i="1"/>
  <c r="I108" i="1"/>
  <c r="D108" i="1"/>
  <c r="I107" i="1"/>
  <c r="D107" i="1"/>
  <c r="I106" i="1"/>
  <c r="D106" i="1"/>
  <c r="I105" i="1"/>
  <c r="D105" i="1"/>
  <c r="I104" i="1"/>
  <c r="D104" i="1"/>
  <c r="I103" i="1"/>
  <c r="D103" i="1"/>
  <c r="I102" i="1"/>
  <c r="D102" i="1"/>
  <c r="I101" i="1"/>
  <c r="D101" i="1"/>
  <c r="I100" i="1"/>
  <c r="D100" i="1"/>
  <c r="I99" i="1"/>
  <c r="D99" i="1"/>
  <c r="I98" i="1"/>
  <c r="D98" i="1"/>
  <c r="I97" i="1"/>
  <c r="D97" i="1"/>
  <c r="I96" i="1"/>
  <c r="D96" i="1"/>
  <c r="I95" i="1"/>
  <c r="D95" i="1"/>
  <c r="I94" i="1"/>
  <c r="D94" i="1"/>
  <c r="I93" i="1"/>
  <c r="D93" i="1"/>
  <c r="I92" i="1"/>
  <c r="D92" i="1"/>
  <c r="I91" i="1"/>
  <c r="D91" i="1"/>
  <c r="I90" i="1"/>
  <c r="D90" i="1"/>
  <c r="I89" i="1"/>
  <c r="D89" i="1"/>
  <c r="I88" i="1"/>
  <c r="D88" i="1"/>
  <c r="I87" i="1"/>
  <c r="D87" i="1"/>
  <c r="I86" i="1"/>
  <c r="D86" i="1"/>
  <c r="I85" i="1"/>
  <c r="D85" i="1"/>
  <c r="I84" i="1"/>
  <c r="D84" i="1"/>
  <c r="I83" i="1"/>
  <c r="D83" i="1"/>
  <c r="I82" i="1"/>
  <c r="D82" i="1"/>
  <c r="I81" i="1"/>
  <c r="D81" i="1"/>
  <c r="I80" i="1"/>
  <c r="D80" i="1"/>
  <c r="I79" i="1"/>
  <c r="D79" i="1"/>
  <c r="I78" i="1"/>
  <c r="D78" i="1"/>
  <c r="I77" i="1"/>
  <c r="D77" i="1"/>
  <c r="I76" i="1"/>
  <c r="D76" i="1"/>
  <c r="I75" i="1"/>
  <c r="D75" i="1"/>
  <c r="I74" i="1"/>
  <c r="D74" i="1"/>
  <c r="I73" i="1"/>
  <c r="D73" i="1"/>
  <c r="I72" i="1"/>
  <c r="D72" i="1"/>
  <c r="I71" i="1"/>
  <c r="D71" i="1"/>
  <c r="I70" i="1"/>
  <c r="D70" i="1"/>
  <c r="I69" i="1"/>
  <c r="D69" i="1"/>
  <c r="I68" i="1"/>
  <c r="D68" i="1"/>
  <c r="I67" i="1"/>
  <c r="D67" i="1"/>
  <c r="I66" i="1"/>
  <c r="D66" i="1"/>
  <c r="I65" i="1"/>
  <c r="D65" i="1"/>
  <c r="I64" i="1"/>
  <c r="D64" i="1"/>
  <c r="I63" i="1"/>
  <c r="D63" i="1"/>
  <c r="I62" i="1"/>
  <c r="D62" i="1"/>
  <c r="I61" i="1"/>
  <c r="D61" i="1"/>
  <c r="I60" i="1"/>
  <c r="D60" i="1"/>
  <c r="I59" i="1"/>
  <c r="D59" i="1"/>
  <c r="I58" i="1"/>
  <c r="D58" i="1"/>
  <c r="I57" i="1"/>
  <c r="D57" i="1"/>
  <c r="I56" i="1"/>
  <c r="D56" i="1"/>
  <c r="I55" i="1"/>
  <c r="D55" i="1"/>
  <c r="I54" i="1"/>
  <c r="D54" i="1"/>
  <c r="I53" i="1"/>
  <c r="D53" i="1"/>
  <c r="I52" i="1"/>
  <c r="D52" i="1"/>
  <c r="I51" i="1"/>
  <c r="D51" i="1"/>
  <c r="I50" i="1"/>
  <c r="D50" i="1"/>
  <c r="I49" i="1"/>
  <c r="D49" i="1"/>
  <c r="I48" i="1"/>
  <c r="D48" i="1"/>
  <c r="I47" i="1"/>
  <c r="D47" i="1"/>
  <c r="I46" i="1"/>
  <c r="D46" i="1"/>
  <c r="I45" i="1"/>
  <c r="D45" i="1"/>
  <c r="I44" i="1"/>
  <c r="D44" i="1"/>
  <c r="I43" i="1"/>
  <c r="D43" i="1"/>
  <c r="I42" i="1"/>
  <c r="D42" i="1"/>
  <c r="I41" i="1"/>
  <c r="D41" i="1"/>
  <c r="I40" i="1"/>
  <c r="D40" i="1"/>
  <c r="I39" i="1"/>
  <c r="D39" i="1"/>
  <c r="I38" i="1"/>
  <c r="D38" i="1"/>
  <c r="I37" i="1"/>
  <c r="D37" i="1"/>
  <c r="I36" i="1"/>
  <c r="D36" i="1"/>
  <c r="I35" i="1"/>
  <c r="D35" i="1"/>
  <c r="I34" i="1"/>
  <c r="D34" i="1"/>
  <c r="I33" i="1"/>
  <c r="D33" i="1"/>
  <c r="I32" i="1"/>
  <c r="D32" i="1"/>
  <c r="I31" i="1"/>
  <c r="D31" i="1"/>
  <c r="I30" i="1"/>
  <c r="D30" i="1"/>
  <c r="I29" i="1"/>
  <c r="D29" i="1"/>
  <c r="I28" i="1"/>
  <c r="D28" i="1"/>
  <c r="I27" i="1"/>
  <c r="D27" i="1"/>
  <c r="I26" i="1"/>
  <c r="D26" i="1"/>
  <c r="I25" i="1"/>
  <c r="D25" i="1"/>
  <c r="I24" i="1"/>
  <c r="D24" i="1"/>
  <c r="I23" i="1"/>
  <c r="D23" i="1"/>
  <c r="I22" i="1"/>
  <c r="D22" i="1"/>
  <c r="I21" i="1"/>
  <c r="D21" i="1"/>
  <c r="I20" i="1"/>
  <c r="D20" i="1"/>
  <c r="I19" i="1"/>
  <c r="D19" i="1"/>
  <c r="I18" i="1"/>
  <c r="D18" i="1"/>
  <c r="I17" i="1"/>
  <c r="D17" i="1"/>
  <c r="I16" i="1"/>
  <c r="D16" i="1"/>
  <c r="I15" i="1"/>
  <c r="D15" i="1"/>
  <c r="I14" i="1"/>
  <c r="D14" i="1"/>
  <c r="I13" i="1"/>
  <c r="D13" i="1"/>
  <c r="I12" i="1"/>
  <c r="D12" i="1"/>
  <c r="I11" i="1"/>
  <c r="D11" i="1"/>
  <c r="I10" i="1"/>
  <c r="D10" i="1"/>
  <c r="I9" i="1"/>
  <c r="D9" i="1"/>
  <c r="I8" i="1"/>
  <c r="D8" i="1"/>
  <c r="I7" i="1"/>
  <c r="D7" i="1"/>
  <c r="I6" i="1"/>
  <c r="D6" i="1"/>
  <c r="I5" i="1"/>
  <c r="D5" i="1"/>
  <c r="I4" i="1"/>
  <c r="D4" i="1"/>
  <c r="I3" i="1"/>
  <c r="D3" i="1"/>
  <c r="I2" i="1"/>
  <c r="D2" i="1"/>
</calcChain>
</file>

<file path=xl/sharedStrings.xml><?xml version="1.0" encoding="utf-8"?>
<sst xmlns="http://schemas.openxmlformats.org/spreadsheetml/2006/main" count="11154" uniqueCount="3543">
  <si>
    <t>Φορέας έκδοσης εγγράφου</t>
  </si>
  <si>
    <t>Έτος Έκδοσης</t>
  </si>
  <si>
    <t>Είδος οργάνου</t>
  </si>
  <si>
    <t>Αρ. Απόφασης</t>
  </si>
  <si>
    <t>Ημερομηνία</t>
  </si>
  <si>
    <t>ΑΔΑ</t>
  </si>
  <si>
    <t>Αρ. φακέλου</t>
  </si>
  <si>
    <t>Θέμα-Τίτλος</t>
  </si>
  <si>
    <t>Αριθμός Πρακτικού/Συνεδρίασης</t>
  </si>
  <si>
    <t>Ημερομηνία Συνεδρίασης</t>
  </si>
  <si>
    <t>Ώρα Συνεδρίασης</t>
  </si>
  <si>
    <t>Αριθμός θέματος στο πρακτικό</t>
  </si>
  <si>
    <t>Εισηγητής</t>
  </si>
  <si>
    <t>Υπηρεσία που εισηγείται</t>
  </si>
  <si>
    <t>Γενικό πρωτόκολλο θέματος</t>
  </si>
  <si>
    <t>Εκτός ημερήσιας διάταξης</t>
  </si>
  <si>
    <t>Κωδικός Σύνδεσης</t>
  </si>
  <si>
    <t>Παρατηρήσεις</t>
  </si>
  <si>
    <t>Δήμος Σερρών</t>
  </si>
  <si>
    <t>Δ.Σ.</t>
  </si>
  <si>
    <t>Αποσύρεται το θέμα: «Ενημέρωση - συζήτηση σχετικά με την διαδικασία του ανταγωνιστικού διαλόγου για την επιλογή του ιδιωτικού φορέα σύμπραξης (ΙΦΣ) του έργου με τίτλο: ¨Υλοποίηση μονάδας επεξεργασίας απορριμμάτων Νομού Σερρών¨».</t>
  </si>
  <si>
    <t>Τεχνικός Σύμβουλος της ΕΣΑΝΣ</t>
  </si>
  <si>
    <t>Όχι</t>
  </si>
  <si>
    <t>ΒΕΥΙΩ10-2ΡΜ</t>
  </si>
  <si>
    <t>Αντικατασταση μελους του Δ/κου Συμβουλιου της Δημοτικης Επιχειρησης Υδρευσης-Αποχετευσης Σερρων(Δ.Ε.Υ.Α.Σ.) και ορισμος Αντιπροεδρου.</t>
  </si>
  <si>
    <t>Προεδρος ΔΣ</t>
  </si>
  <si>
    <t>Τμηματος Δ/κων Διαδικασιων</t>
  </si>
  <si>
    <t>ΒΕ2ΨΩ10-ΜΜΜ</t>
  </si>
  <si>
    <t>Αποποίηση εκποιηθέντος οικοπέδου στην Ορεινή και επιστροφή καταβληθέντος τιµήµατος.</t>
  </si>
  <si>
    <t>Τµήµα ∆ιαχείρισης Ακίνητης Περιουσίας του ∆ήµου</t>
  </si>
  <si>
    <t>ΒΕΙΛΩ10-1Ε3</t>
  </si>
  <si>
    <t>Αντικατασταση μελων του Δ/κου Συμβουλιου του ΔΗ.ΠΕ.ΘΕ. και ορισμος Προεδρου και Αντιπροεδρου αυτου.</t>
  </si>
  <si>
    <t>Τµήµατος ∆/κών ∆ιαδικασιών</t>
  </si>
  <si>
    <t>ΒΕΑΙΩ10-ΒΓΖ</t>
  </si>
  <si>
    <t>Έγκριση πρακτικών δηµοπρασίας για την εκµίσθωση ισογείου καταστήµατος του κληροδοτήµατος Αποστολίδη.</t>
  </si>
  <si>
    <t>Τµήµα Προσόδων &amp; ∆ηµόσιας Περιουσίας του ∆ήµου</t>
  </si>
  <si>
    <t>ΒΕΙΞΩ10-Ω58</t>
  </si>
  <si>
    <t>Αντικατασταση μελων του Δ/κου Συμβουλιου της Δ.Α.Ε.Κ.Α.Σ. και ορισμος νεου Προεδρου και Αντιπροεδρου.</t>
  </si>
  <si>
    <t>ΒΕΙΛΩ10-ΡΙ4</t>
  </si>
  <si>
    <t>Αντικατασταση αναπληρωτη εκπρωσοπου του Δημου στη Γενικη Συνελευση των μετοχων της επιχειρησης &lt;&lt;ΑΥΤΙΚΙΝΗΤΟΔΡΟΜΙΟ ΣΕΡΡΩΝ Α.Ε.&gt;&gt;</t>
  </si>
  <si>
    <t>Έγκριση σύστασης έξι (6) θέσεων υδρονομέων άρδευσης στο Αγρόκτημα Λευκώνα, στην Δ.Κ. Κ.Μητρούση, στην Τ.Κ. Ορεινής και στην Τ.Κ. Άνω Βροντούς, για το έτος 2013</t>
  </si>
  <si>
    <t>Τμ. Προσωπικού</t>
  </si>
  <si>
    <t>ΒΕΙΞΩ10-ΥΟΡ</t>
  </si>
  <si>
    <t>Ορισμος μελους για την επανασυγκροτηση της Δημοτικης Επιτροπης Παιδειας</t>
  </si>
  <si>
    <t>Τµ. ∆ιοικητικών ∆ιαδικασιών</t>
  </si>
  <si>
    <t>Τμ.Διοικητικων Διαδικασιων</t>
  </si>
  <si>
    <t>Αναμόρφωση πιστώσεων εγκεκριμένου προϋπολογισμού οικ. έτους 2013 για την πληρωμή οφειλόμενων εισφορών έτους 2012.</t>
  </si>
  <si>
    <t>Τμ. Λογιστηρίου</t>
  </si>
  <si>
    <t>ΒΕΙΛΩ10-Ο48</t>
  </si>
  <si>
    <t>Συγκροτηση επιτροπων παραλαβης προμηθειων ετους 2013, συμφωνα με το αρθρο 28 του ΕΚΠΟΤΑ</t>
  </si>
  <si>
    <t>Τµήµατος Προµηθειών</t>
  </si>
  <si>
    <t>Τμηματος Προμηθειων</t>
  </si>
  <si>
    <t>Έγκριση μελέτης του έργου: ¨Συντήρηση και ανακατασκευή περίφραξης νεκροταφείων Δ.Κ. Λευκώνα¨, πρ/σμού 12.000,00</t>
  </si>
  <si>
    <t>Δ.Τ.Υ.</t>
  </si>
  <si>
    <t>ΒΕΙΛΩ10-Θ27</t>
  </si>
  <si>
    <t>Συγκροτηση επιτροπης παραλαβης μικρων εργων, των οποιων η δαπανη δεν υπερβαινει τα 5.896,40€ ετους 2013, συμφωνα με τις διαταξεις της παρ.2 του αρθρου 15 του Π.Δ. 171/1987, οπως τροποποιηθηκε με το Π.Δ. 229/1999.</t>
  </si>
  <si>
    <t>∆.Τ.Υ.</t>
  </si>
  <si>
    <t>Ενημέρωση σχετικά με αίτημα δημοτών κατοίκων της οδού Αίνου σύμφωνα με την παρ. 6 του άρθρου 5 του κανονισμού Λειτουργίας του Δημοτικού Συμβουλίου.</t>
  </si>
  <si>
    <t>Αναγνώστου Γιάννης, εκπροσώπου - διαχ/στή οικοδομής επί της Αίνου 15</t>
  </si>
  <si>
    <t>ΒΕΦ2Ω10-ΠΚΝ</t>
  </si>
  <si>
    <t>Εκλογη Τακτικων και Αναπληρωματικων Μελων της Οικονομικης Επιτροπης, για τη χρονικη περιοδο απο 7-1-2013 μεχρι 31-8-2014</t>
  </si>
  <si>
    <t>Έγκριση μελέτης του έργου: ¨Επισκευή κεραμοσκεπής και κατασκευή επιχρισμάτων στο 3 ο Γυμνάσιο και Μουσικό Σχολείο Σερρών¨, πρ/σμού 17.500,00 €</t>
  </si>
  <si>
    <t>Δ.Τ.Υ</t>
  </si>
  <si>
    <t>Έγκριση πρωτοκόλλου προσωρινής και οριστικής παραλαβής του έργου: ¨Διανοίξεις δρόμων στην περιοχή της πράξης εφαρμογής Σιγής έτους 2009¨.</t>
  </si>
  <si>
    <t>Έγκριση 2ης παράτασης συμβατικής προθεσμίας περαίωσης του έργου: ¨Επισκευή – συντήρηση του 1ου Γυμνασίου Σερρών¨</t>
  </si>
  <si>
    <t>Έγκριση πρωτοκόλλου προσωρινής και οριστικής παραλαβής του έργου: ¨Αποχέτευση στο Τ.Δ. Κάτω Καμήλας¨.</t>
  </si>
  <si>
    <t>ΒΕΦ2Ω10-ΕΥ0</t>
  </si>
  <si>
    <t>Εκλογη Τακτικων και Αναπληρωματικων Μελων της Επιτροπης Ποιοτητας Ζωης, για τη χρονικη περιοδο απο 7-1-2013 μεχρι 31-8-2014</t>
  </si>
  <si>
    <t>Αναμόρφωση πιστώσεων εγκεκριμένου προϋπολογισμού οικ. έτους 2013 για την οφειλή εξόφλησης 11 ου λογαριασμού του έργου: «Βελτίωση χάραξης οδού Σερρών - Δ.Δ. Ξηροτόπου»</t>
  </si>
  <si>
    <t>ΒΕΥΥΩ10-56Κ</t>
  </si>
  <si>
    <t>Συγκροτηση Συμβουλιου Ενταξης Μεταναστων</t>
  </si>
  <si>
    <t>Αντιδημαρχος Κοιν.Μεριμνας και Παιδειας</t>
  </si>
  <si>
    <t>ΔΣ</t>
  </si>
  <si>
    <t>Έγκριση 1ου Ανακεφαλαιωτικού Πίνακα του έργου: ¨Περιβαλλοντική Αποκατάσταση ΧΑΔΑ Δ.Ε. Σκουτάρεως και Κ. Μητρουσίου και της Τ.Κ. Α. Βροντούς του Δήμου Σερρών¨.</t>
  </si>
  <si>
    <t>Ναι</t>
  </si>
  <si>
    <t>Έγκριση Προϋπολογιστικού Πίνακα του έργου: ¨Αποκατάσταση περίφραξης γηπέδου Τ.Κ. Άνω Καμήλας¨.</t>
  </si>
  <si>
    <t>ΒΕΙΨΩ10-3ΒΓ</t>
  </si>
  <si>
    <t>Κηρηξη ΕΚΠΤΩΤΟΥ της αναδοχου εταιρειας &lt;&lt; ΑΦΟΙ ΜΑΝΔΕΛΑ Ο.Ε&gt;&gt;, για την προμηθεια υγρων καυσιμων για τον Δημο Σερρων και επιβολη κυρωσεων, συμφωνα με το αρθρο 35 του ΕΚΠΟΤΑ.</t>
  </si>
  <si>
    <t>Σχετικά με επερώτηση της Δημοτικής Παράταξης ¨Δυναμική Πορεία Ανάπτυξης¨, για την πορεία υλοποίησης του δημοτικού λαχανόκηπου.</t>
  </si>
  <si>
    <t>Δημοτική Παράταξη ¨Δυναμική Πορεία Ανάπτυξης¨</t>
  </si>
  <si>
    <t>Ορισμός μέλους για τη συγκρότηση επιτροπής παραλαβής έργων προϋπολογισμού άνω των 5.896,41 € του έτους 2013, σύμφωνα με τις διατάξεις του άρθρου 16 του Π.Δ. 171/1987, όπως τροποποιήθηκε με το Π.Δ. 229/1999.</t>
  </si>
  <si>
    <t>ΒΕΙ6Ω10-ΒΕΜ</t>
  </si>
  <si>
    <t>Εγκριση απ' ευθειας αναθεσης προμηθειας υγρων καυσιμων αξιας 14.995,20€ με ΦΠΑ - εγκριση προμηθειας καυσιμων μετα απο προχειρο διαγωνισμο υψους 58.794,62€ με ΦΠΑ.</t>
  </si>
  <si>
    <t>Τμ.Προμηθειων</t>
  </si>
  <si>
    <t>ΒΕΙΠΩ10-2ΒΓ</t>
  </si>
  <si>
    <t>Έκδοση ψηφίσµατος συµπαράστασης στα αιτήµατα του Συλλόγου Γονέων και Κηδεµόνων του Μουσικού Σχολείου Σερρών.</t>
  </si>
  <si>
    <t>Συλλόγου Γονέων και Κηδεµόνων του Μουσικού Σχολείου Σερρών,</t>
  </si>
  <si>
    <t>ΒΕΦΦΩ10-ΣΦ2</t>
  </si>
  <si>
    <t>Αντικατάσταση αναπληρωµατικού µέλους λόγω συνταξιοδότησης της επιτροπής παραλαβής προµηθειών των διαγωνισµών έτους 2012 κατά τις διατάξεις του άρθρου28 παρ. 1 του ΕΚΠΟΤΑ, η οποία συγκροτήθηκε µε την αρ. 23/2012 Α.∆.Σ.</t>
  </si>
  <si>
    <t>ΒΕΙΒΩ10-ΕΚ5</t>
  </si>
  <si>
    <t>Καθορισµός του αριθµού των ασκούµενων σπουδαστών των ΕΠΑ.Σ. µαθητείας του ΟΑΕ∆ στο ∆ήµο Σερρών.</t>
  </si>
  <si>
    <t>Εµµανουήλ Αλεξούδης</t>
  </si>
  <si>
    <t>∆/ντή ∆/κού</t>
  </si>
  <si>
    <t>ΒΕΙ6Ω10-81Τ</t>
  </si>
  <si>
    <t>Εγκριση της αριθμ 5/2013 αποφασης του Δ.Σ του Ν.Π.Δ.Δ. του Δημου Σερρων με την Επωνυμια &lt;&lt;Οργανισμου Προσχολικης Αγωγης, Κοινωνικης Πολιτικης και Αθλητισμου Δημου Σερρων&gt;&gt;, με θεμα:&lt;&lt;Εγκριση προσληψης προσωπικου με σχεση εργασιας ιδιωτικου δικαιου ορισμενου χρονου για την υλοποιηση του ευρωπαικου προγραμματος &lt;Αναπτυξη ανρωπινου Δυναμικου&gt; ΕΣΠΑ 2007-2013 &lt;Εναρμονιση Οικογενειακης και Επαγγελματικης Ζωης&gt;.</t>
  </si>
  <si>
    <t>Προεδρος Ν.Π.Δ.Δ</t>
  </si>
  <si>
    <t>Ν.Π.Δ.Δ</t>
  </si>
  <si>
    <t>ΒΕΦΑΩ10-Χ01</t>
  </si>
  <si>
    <t>Μη έγκριση κατασκευής ράµπας αναπήρων στην οδό Μεραρχίας &amp; Κωστοπούλου2 (κατάστηµα VODAFONE).</t>
  </si>
  <si>
    <t>Έγκριση πρωτοκόλλου προσωρινής και οριστικής παραλαβής του έργου: ¨Εργασίες αποκατάστασης κολυμβητικής δεξαμενής του κλειστού κολυμβητηρίου Σερρών¨</t>
  </si>
  <si>
    <t>ΒΕΦΧΩ10-ΩΘΥ</t>
  </si>
  <si>
    <t>Συµπληρωµατική καταβολή εξόδων κίνησης εκτός έδρας υπαλλήλων του ∆ήµου για τους µήνες Ιανουάριο-Φεβρουάριο-Μάρτιο2011.</t>
  </si>
  <si>
    <t>Τµήµα Προσωπικού</t>
  </si>
  <si>
    <t>ΒΕΦΧΩ10-ΜΘΗ</t>
  </si>
  <si>
    <t>Συµπληρωµατική καταβολή εξόδων κίνησης εκτός έδρας υπαλλήλων του ∆ήµου, κατά το µήνα Νοέµβριο2010.</t>
  </si>
  <si>
    <t>ΒΕΦΣΩ10-8ΔΟ</t>
  </si>
  <si>
    <t>Συµπληρωµατική καταβολή εξόδων κίνησης εκτός έδρας υπαλλήλων του ∆ήµου, κατά το µήνα ∆εκέµβριο2010.</t>
  </si>
  <si>
    <t>ΒΕΦΦΩ10-102</t>
  </si>
  <si>
    <t>Συµπληρωµατική έγκριση καταβολής εξόδων κίνησης εκτός έδρας υπαλλήλων του ∆ήµου, Φιλτζαντζή Αθανασίου και Βελιγρατλή Μιχαήλ, κατά το µήνα Ιούνιο2011.</t>
  </si>
  <si>
    <t>ΒΕΑΜΩ10-425</t>
  </si>
  <si>
    <t>Έγκριση σύναψης προγραµµατικής σύµβασης µεταξύ του ∆ήµου Σερρών και της ΕΣΑΝΣ ΑΑΕ για την υγειονοµική ταφή των απορριµµάτων του ∆ήµου µας στον ΧΥΤ Ν. Σερρών.</t>
  </si>
  <si>
    <t>∆/ντή Καθαριότητας</t>
  </si>
  <si>
    <t>ΒΕΔ0Ω10-ΖΘΥ</t>
  </si>
  <si>
    <t>Ορισμος μελων (Τακτικων και Αναπληρωματικων) για τη συγκροτηση νεου Διοικητικου Συμβουλιου του Ν.Π με την επωνυμια: &lt;&lt;Οργανισμος Προσχολικης Αγωγης Κοινωνικης Πολιτικης και Αθλητισμου Δημου Σερρων&gt;&gt;.</t>
  </si>
  <si>
    <t>-</t>
  </si>
  <si>
    <t>Αναμόρφωση πιστώσεων εγκεκριμένου προϋπολογισμού οικονομικού έτους 2013 για την ενίσχυση του Κ.Α. 00.6712.01 για τον Οργανισμό Προσχολικής Αγωγής, Κοινωνικής Πολιτικής και Αθλητισμού του Δήμου Σερρών (199 η Αναμόρφωση οικονομικού έτους 2013).</t>
  </si>
  <si>
    <t>ΒΕΦΣΩ10-6Ε</t>
  </si>
  <si>
    <t>Έγκριση παράτασης χρονικής περιόδου έργου εκκαθάρισης Κ.Ε.Π.Σ. ∆ήµου Σερρών εκ του εκκαθαριστή κ. ∆. Ζιγκερίδη.</t>
  </si>
  <si>
    <t>Πέτρος Αγγελίδης</t>
  </si>
  <si>
    <t>∆ηµάρχου Σερρών</t>
  </si>
  <si>
    <t>ΒΕΦ2Ω10-ΛΒΕ</t>
  </si>
  <si>
    <t>Έγκριση της υπ’ αρ. 255/2012 απόφασης του ∆.Σ. της¨Κ.Ε.∆Η.Σ.¨ µε θέµα: ¨Έγκριση προϋπολογισµού χρήσης2013¨.</t>
  </si>
  <si>
    <t>Ιωάννης ∆ήµου</t>
  </si>
  <si>
    <t>Προέδρου της Κ.Ε.∆Η.Σ</t>
  </si>
  <si>
    <t>ΒΕΦ8Ω10-Μ1Ν</t>
  </si>
  <si>
    <t>Αναπροσαρµογή (µείωση) µισθωµάτων πρώην γραφείων Κ.Ε.Π. ∆ήµου Σερρών επί της οδού ∆υτικής Θράκης.</t>
  </si>
  <si>
    <t>Τµήµατος Λογιστηρίου</t>
  </si>
  <si>
    <t>ΒΕΙΨΩ10-Η10</t>
  </si>
  <si>
    <t>Ορισμος μελων για τη συγκροτηση νεου Διοικητικου Συμβλουλιου της Κοινωφελους Επιχειρησης Δημου Σερρων (Κ.Ε.ΔΗ.Σ.).</t>
  </si>
  <si>
    <t>Τμ.Δ/κων Διαδικασιων</t>
  </si>
  <si>
    <t>ΒΛΓΔΩ10-233</t>
  </si>
  <si>
    <t>Έγκριση συµπληρωµατικής καταβολής εξόδων κίνησης εκτός έδρας του υπαλλήλου µας κ. Σαµαρά Γεώργιου, κατά τους µήνες Αύγουστο και Σεπτέµβριο 2013.</t>
  </si>
  <si>
    <t>Τµήµατος Προσωπικού</t>
  </si>
  <si>
    <t>ΒΛΓΔΩ10-5ΒΟ</t>
  </si>
  <si>
    <t>Έγκριση συµπληρωµατικής καταβολής εξόδων κίνησης εκτός έδρας της υπαλλήλου µας κας Μίκικη Φωτεινής, κατά το µήνα Οκτώβριο 2013.</t>
  </si>
  <si>
    <t>ΒΛΓ1Ω10-ΤΣΖ</t>
  </si>
  <si>
    <t>Έγκριση καταβολής εξόδων κίνησης εκτός έδρας της υπαλλήλου µας Μίκικη Φωτεινής, στην Καβάλα, στις 13 και 14 Νοεµβρίου 2013, στα πλαίσια του έργουEASY TRIP.</t>
  </si>
  <si>
    <t>ΒΛΓΞΩ10-ΦΚΧ</t>
  </si>
  <si>
    <t>Αποδοχή χρηµατοδότησης του προγράµµατος ΒΟΗΘΕΙΑ ΣΤΟ ΣΠΙΤΙ από την ΚΕ∆ΗΣ και τον ΟΠΑΚΠΑ.</t>
  </si>
  <si>
    <t>Τµ. ∆/κών ∆ιαδικασιών</t>
  </si>
  <si>
    <t>ΒΛΓ1Ω10-Σ7Χ</t>
  </si>
  <si>
    <t>Έγκριση του από 16/12/2013 πρωτοκόλλου προσωρινής απόρριψης της προµήθειας ανταλλακτικών για εκτυπωτές-πολυµηχανήµατα και φωτοτυπικά έτους 2013.</t>
  </si>
  <si>
    <t>ΒΛΓ1Ω10-31Ζ</t>
  </si>
  <si>
    <t>Έγκριση παραλαβής µελέτης και έγκριση υποβολής πρότασης του έργου «Αποκατάσταση ΧΥΤΑ ∆ήµου Σερρών και λοιπές υποστηρικτικές δράσεις» στο πλαίσιο της πρόσκλησης 22 του ΕΠΙΧΕΙΡΗΣΙΑΚΟΥ ΠΡΟΓΡΑΜΜΑΤΟΣ ΜΑΚΕ∆ΟΝΙΑ- ΘΡΑΚΗ 2007-2013.</t>
  </si>
  <si>
    <t>Τµ. Προγραµµατισµού</t>
  </si>
  <si>
    <t>ΒΕΦΝΩ10-0ΣΙ</t>
  </si>
  <si>
    <t>Εκλογη Προεδρειου του δημοτικου συμβουλιου για την χρονικη περιοδο απο 7-1-2013 μεχρι 31-8-2014</t>
  </si>
  <si>
    <t>ΒΕΔΔΩ10-Μ55</t>
  </si>
  <si>
    <t>Αναμορφωση πιστωσεων εγκεκριμενου προυπολογισμου οικ. ετους 2013 για την οφειλη παροχης υπηρεσιων συμβουλου υποστηριξης των εργασιων της διεπιστημονικης ομαδας εργου καταρτιστης, παρακολουθησης και αξιολογησης του επιχειρισιακου προγραμματος Δημου Σερρων και Ψηφιση σχετικης πιστωσης.</t>
  </si>
  <si>
    <t>Τμ. Λογιστηριου</t>
  </si>
  <si>
    <t>ΒΕΔΔΩ10-ΙΥΟ</t>
  </si>
  <si>
    <t>Αναμορφωση πιστωσεων εγκεκριμενου προυπολογισμου οικ. ετους 2013 για τις εργασιας μονωσης στο 4ο Λυκειο, 2ο Γυμνασιο και Δημοτικο Σχολειο Καλων Δενδρων και ψηφιση σχετικης πιστωσης.</t>
  </si>
  <si>
    <t>ΒΕΔΔΩ10-ΖΜΞ</t>
  </si>
  <si>
    <t>Αναμορφωση πιστωσεων εγκεκριμενου προυπολογισμου οικ. ετους 2013 για την εξοφληση του 1ου Λογαριασμου του εργου:« Αρδευτικα εργα Κοινοτητας Ανω Βροντους» και ψηφιση σχετικης πιστωσης.</t>
  </si>
  <si>
    <t>ΒΕΔΔΩ10-ΝΜΘ</t>
  </si>
  <si>
    <t>Αναμορφωση πιστωσεων εγκεκριμενου προυπολογισμου οικ. ετους 2013 για την εξοφληση του 1ου Λογαριασμου του εργου:«Εφαρμογη σχεδιου πολεως στην περιοχη της Π.Ε. Σιγης ετους 2013» και ψηφιση σχετικης πισωσης.</t>
  </si>
  <si>
    <t>ΒΕΔΑΩ10-ΔΑΤ</t>
  </si>
  <si>
    <t>Αναμορφωση πιστωσεων εγκεκριμενου προυπολογισμου οικ. ετους 2013 για την οφειλη συντηρησης τριων (3) ανελκυστηρων στο κινηματοθεατρο «ΑΣΤΕΡΙΑ» και τροποποιηση του Κ.Α. με την ενδειξη:«Εγκατασταση φωτοβολταικων συστηματων σε σχολικα κτιρια του Δημου Σερρων» και ψηφιση σχετικων πιστωσεων.</t>
  </si>
  <si>
    <t>ΒΕΔΔΩ10-Δ9Σ</t>
  </si>
  <si>
    <t>Αναμορφωση πιστωσεων εγκεκριμενου προυπολογισμου οικ. ετους 2013 για την οφειλη παροχης υπηρεσιων συμβουλου για το προγραμμα της Κ.Π. INTERREGIVC-PIMMS TRANSFER και ψηφιση σχετικης πιστωσης.</t>
  </si>
  <si>
    <t>ΒΕΔΣΩ10-ΔΡ2</t>
  </si>
  <si>
    <t>Εκδοση κανονιστικης αποφασης κυκλοφοριακων ρυθμισεων στο Δημο των Σερρων με βαση την αρ. 3/2013 Αποφαση της Επιτροπης Ποιοτητας Ζωης.</t>
  </si>
  <si>
    <t>Τμ. Κυκλοφοριακου Σχεδιασμου και Συγκοινωνιας</t>
  </si>
  <si>
    <t>ΒΕΔΣΩ10-ΥΛΝ</t>
  </si>
  <si>
    <t>Εκδοση κανονιστικης αποφασης κυκλοφοριακων ρυθμισεων στην πολη των Σερρων με βαση την αρ.4/2013 Αποφαση της Επιτροπης Ποιοτητας Ζωης.</t>
  </si>
  <si>
    <t>ΒΕΔΣΩ10-6ΒΓ</t>
  </si>
  <si>
    <t>Εκδοση κανονιστικης αποφασης κυκλοφοριακων ρυθμισεων στην πολη των Σερρων με βαση την αρ. 5/2013 Αποφαση της Επιτροπης Ζωης.</t>
  </si>
  <si>
    <t>Αποποιηση εκποιηθεντος οικοπεδου στην Ορεινη και επιστροφη καταβληθεντος τιμηματος.</t>
  </si>
  <si>
    <t>Τμ. Διαχειρισης Ακινητης Περιουσιας</t>
  </si>
  <si>
    <t>ΒΕΔΖΩ10-ΚΧΓ</t>
  </si>
  <si>
    <t>Εγκριση εκμισθωσης δια δημοπρασιας των υπ'αρ. 3525 &amp; 3526 αγροτεμαχιων του αγροκτηματος Σερρων.</t>
  </si>
  <si>
    <t>Τμ. Προσοδων και Δημοσιας Υπηρεσιας</t>
  </si>
  <si>
    <t>Εγκριση πρακτικων δημοπρασιας για την εκμισθωση ισογειου καταστηματος του κληροδοτηματος Αποστολιδη.</t>
  </si>
  <si>
    <t>Τμ. Προσοδων και Δημοσιας Περιουσιας</t>
  </si>
  <si>
    <t>ΒΕΔΔΩ10-ΑΔΔ</t>
  </si>
  <si>
    <t>Εγκριση διοικητικης αποβολης απο κατεχομενη δημοτικη εκταση, της κ. Παπαδοπουλου Ειρηνης.</t>
  </si>
  <si>
    <t>ΒΕΔΔΩ10-35Β</t>
  </si>
  <si>
    <t>Εγκριση προυπολογιστικου πινακα και τεχνικης περιγραφης των εργασιων:"Αποκατασταση - συντηρηση τοπικου δικτυου αρδευσης Μητρουσιου".</t>
  </si>
  <si>
    <t>Δημαρχος Σερρων</t>
  </si>
  <si>
    <t>ΒΕΔ3Ω10-ΣΙΠ</t>
  </si>
  <si>
    <t>Εγκριση συνεχισης για το ετος 2013 του εργου:« Οδοστρωσια πολης Σερρων ετους 2012» και ψηφιση σχετικης πιστωσης.</t>
  </si>
  <si>
    <t>ΒΕΔΔΩ10-Ψ3Δ</t>
  </si>
  <si>
    <t>Εγκριση πρωτοκολλου προσωρινης και οριστικης παραλαβης του εργου: "Επεκταση δικτυου υδρευσης Λευκωνα".</t>
  </si>
  <si>
    <t>ΒΕΝΤΩ10-Κ4Φ</t>
  </si>
  <si>
    <t>Εγκριση μετακινησης εκτος εδρας του Δημαρχου Σερρων, κατα τον μηνα Φεβρουαριο 2013.</t>
  </si>
  <si>
    <t>Τμ. Δ/κων Διαδικασιων</t>
  </si>
  <si>
    <t>ΒΕΑ2Ω10-Ι27</t>
  </si>
  <si>
    <t>Εγκριση καταβολης εξοδων κινησης εκτος εδρας της κας Κοκκινιδου Αθηνας, υπαλληλου του Δημου, στις 14-12-2012, στο Πετριτσι της Βουλγαριας.</t>
  </si>
  <si>
    <t>Τμ. Προσωπικου</t>
  </si>
  <si>
    <t>ΒΕΔΣΩ10-ΑΕ0</t>
  </si>
  <si>
    <t>Εγκριση καταβολης εξοδων κινησης εκτος εδρας του κ. Καραγκιοζη Χρστου, υπαλληλου του Δημου, στην Θεσσαλονικη, κατα το μηνα Ιανουαριο 2013.</t>
  </si>
  <si>
    <t>ΒΕΑ2Ω10-ΩΕΙ</t>
  </si>
  <si>
    <t>Εγκριση καταβολης εξοδων κινησης εκτος εδρας των υπαλληλων του Δημου, κατα τους μηνες Ιουλιο,Αυγουστο,Σεπτεμβριο, Οκτωμβριο 2012.</t>
  </si>
  <si>
    <t>ΒΕΑΙΩ10-Γ7Υ</t>
  </si>
  <si>
    <t>Εγκριση καταβολης εξοδων κινησης εκτος εδρας των υπαλληλων του Δημου, κατα τους μηνες Νοεμβριο και Δεκεμβριο 2012.</t>
  </si>
  <si>
    <t>ΒΕΔΔΩ10-Ι87</t>
  </si>
  <si>
    <t>Εγκριση καταβολης εξοδων κινησης εκτος εδρας του Δημαρχου Σερρων κ. Πετρου Αγγελιδη, στην Αθηνα, απο 10-12 Δεκεμβριου 2012 και στις 14 Δεκεμβριου 2012.</t>
  </si>
  <si>
    <t>Τμ. Διοικητικων Διαδικασιων</t>
  </si>
  <si>
    <t>ΒΕΔΣΩ10-2Ν6</t>
  </si>
  <si>
    <t>Εγκριση καταβολης εξοδων κινησης εκτος εδρας του Δημαρχου Σερρων κ. Πετρου Αγγελιδη, στην Αθηνα, απο 10-11 Ιανουαριου 2013.</t>
  </si>
  <si>
    <t>ΒΕΔΣΩ10-ΓΚ3</t>
  </si>
  <si>
    <t>Εγκριση καταβολης εξοδων κινησης εκτος εδρας του Δημαρχου Σερρων κ. Πετρου Αγγελιδη, στην Αθηνα, απο 28-29 Ιανουαριου 2013.</t>
  </si>
  <si>
    <t>ΒΕΔΣΩ10-ΧΥΛ</t>
  </si>
  <si>
    <t>Εγκριση καταβολης εξοδων κινησης εκτος εδρας του Δημαρχου Σερρων κ.Πετρου Αγγελιδη, στην Αθηνα, απο 10-12 Φεβρουαριου 2013.</t>
  </si>
  <si>
    <t>ΒΕΔΣΩ10-Σ64</t>
  </si>
  <si>
    <t>Εγκριση καταβολης εξοδων κινησης εκτος εδρας του Δημαρχου Σερρων κ. Πετρου Αγγελιδη, στην Αθηνα, στις 19 Φεβρουαριου 2013.</t>
  </si>
  <si>
    <t>ΒΕΔΣΩ10-ΣΦΩ</t>
  </si>
  <si>
    <t>Εγκριση καταβολης εξοδων κινησης εκτος εδρας του Αντιδημαρχου Διοικητικων-Οικομικων Λειτουργιων-Ηλεκτρονικης Διακυβερνησης και Διαφανειας κ.Στεργιου Γαλανη, απο 30 Νοεμβριου εως και 4 Δεκεμβριου 2012, στην Αθηνα.</t>
  </si>
  <si>
    <t>ΒΕΔΣΩ10-Σ12</t>
  </si>
  <si>
    <t>Εγκριση καταβολης εξοδων κινησης εκτος εδρας του Αντιδημαρχου Εργων-Υποδομων κ.Μυστακιδη Παυλου, ως συμμετεχοντα σε ημεριδα του προγραμματος «SEAP-PLUS», στις 23-1-2013, στην Αθηνα.</t>
  </si>
  <si>
    <t>ΒΕΑ2Ω10-Φ8Ρ</t>
  </si>
  <si>
    <t>Εγκριση καταβολης εξοδων κινησης εκτος εδρας του Αντιδημαρχου Αναπτυξης και Αγροτικης Οικονομιας κ. Γρηγοριαδης Παναγιωτη, στις 14 Δεκεμβριου 2012, στο Πετριτσι της Βουλγαριας.</t>
  </si>
  <si>
    <t>ΒΕΔΙΩ10-ΦΛΥ</t>
  </si>
  <si>
    <t>Εγκριση απ'ευθειας αναθεσης υγρων καυσιμων ετους 2013 στην εταιρεια Σμυλιανη Μαρια &amp; ΣΙΑ ΟΕ κατοπιν διαπραγματευσης.</t>
  </si>
  <si>
    <t>ΒΕΔ3Ω10-Γ2Ι</t>
  </si>
  <si>
    <t>Αποδοχη χρηματοδοτησης για την υλοποιηση της πραξης:«Προωθηση του μαζικου αθλητισμου στη διασυνοριακη περιοχη των Δημων Petrich και Δημου Σερρων» απο το Προγραμμα Διασυνοριακης Συνεργασιας ΕΛΛΑΔΑ-ΒΟΥΛΓΑΡΙΑ 2007-2013.</t>
  </si>
  <si>
    <t>Τμ. Προγραμματισμου</t>
  </si>
  <si>
    <t>ΒΕΔΔΩ10-ΔΒ6</t>
  </si>
  <si>
    <t>Συγκροτηση τριμελους επιτροπης ετους 2013 για την παραλαβη της «Προμηθειας ανυψωτικων συστηματων για Α.Μ.Ε.Α. και εξοπλισμου πρωτων βοηθειων», κατα το αρθρο 28 του ΕΚΠΟΤΑ.</t>
  </si>
  <si>
    <t>ΒΕΔΘΩ10-ΑΩΡ</t>
  </si>
  <si>
    <t>Ψηφιση πιστωσης και εκδοση σχετικων ενταλματων για την καλυψη λειτουργικων δαπανων Σχολειων αποκλειστικα για δαπανες θερμανσης.</t>
  </si>
  <si>
    <t>ΒΕΝΜΩ10-Ξ5Χ</t>
  </si>
  <si>
    <t>Αναμορφωση προυπολογισμου οικον. ετους 2013 και εγκριση ψηφισης πιστωσης για την καταβολη ωφελουμενων για την επιδοτηση αγορας πρωτης κατοικιας για δεκαπεντε (15) υπαλληλους του Δημου μας.</t>
  </si>
  <si>
    <t>Δ/ση Δ/κων Υπηρεσιων</t>
  </si>
  <si>
    <t>ΒΕΔ3Ω10-1ΓΣ</t>
  </si>
  <si>
    <t>Αναμορφωση πιστωσεων εγκεκριμενου προυπολογισμου οικον. ετους 2013 για την εξοφληση των ληξιπροθεσμων οφειλων του Δημου Σερρων.</t>
  </si>
  <si>
    <t>ΒΕ2ΠΩ10-02Τ</t>
  </si>
  <si>
    <t>Εγκριση των πολεοδομικων μελετων των χωρων των πρωην στρατοπεδων του Δημου Σερρων Ν.Σερρων, που απελευθερωνονται στο πλαισιο Εθνικου Προγραμματος Στρατηγικης Αναδιαταξης Στρατοπεδων, σ'εφαρμογη του αρθρου 3 του Ν.2745/99.</t>
  </si>
  <si>
    <t>Τμ. Υπηρεσιας Δομησης</t>
  </si>
  <si>
    <t>ΒΕΑΚΩ10-5ΚΛ</t>
  </si>
  <si>
    <t>Εγκριση εναρξης της διαδικασιας κυρωσης του δικτυου κοινοχρηστων χωρων σε τμημα του οικισμου Επταμυλων Δημου Σερρων που στερειται εγκεκριμενου ρυμοτομικου σχεδιου.</t>
  </si>
  <si>
    <t>ΒΕΑΛΩ10-Ω35</t>
  </si>
  <si>
    <t>Χορηγηση αδειας απουσιας αντιδημαρχου πανω απο 30 ημερες, συμφωνα με την παρ. 5 του αρθρου 61 του Ν.3852/2010.</t>
  </si>
  <si>
    <t>ΒΕ2ΨΩ10-ΨΕΟ</t>
  </si>
  <si>
    <t>Εγκριση της υπ' αρ. 34/2013 αποφασης του Δ/κου Συμβουλιου της Κοινωφελους Επιχειρησης Δημου Σερρων &lt;ΚΕΔΗΣ&gt;, περι «Εγκριση των οικονομικων καταστασεων των πρωην Κοινωφελων Επιχειρησεων, που συγχωνευτηκαν στην Κ.Ε.Δ.Η.Σ.».</t>
  </si>
  <si>
    <t>Δημου Ιωαννης</t>
  </si>
  <si>
    <t>ΚΕΔΗΣ</t>
  </si>
  <si>
    <t>ΒΕΔΑΩ10-ΟΘΙ</t>
  </si>
  <si>
    <t>Εγκριση συστασης εξι (6) θεσεων υδρονομεων αρδευσης στο Αγροκτημα Λευκωνα, στην Δ.Κ. Κ.Μητρουση, στην Τ.Κ. Ορεινης και στην Τ.Κ. Ανω βροντους, για το ετος 2013.</t>
  </si>
  <si>
    <t>ΒΕΔΑΩ10-8ΕΠ</t>
  </si>
  <si>
    <t>Εγκριση συμμετοχης του Δημου στην παγκοσμια πρωτοβουλια της WWF Η ΩΡΑ ΤΗΣ ΓΗΣ, για το ετος 2013.</t>
  </si>
  <si>
    <t>Τμ. Περιβαλλοντος</t>
  </si>
  <si>
    <t>ΒΕΔ8Ω10-ΔΙ2</t>
  </si>
  <si>
    <t>Εγκριση συμμετοχης του Δημου μας στην Παγκοσμια Εθελοντικη Καμπανια Let's do it Greece 2013 - Καθαριζουμε την Ελλαδα σε μια μερα, που θα πραγματοποιηθει στις 14 Απριλιου 2013.</t>
  </si>
  <si>
    <t>Τμ. Περιβαλλοντος και Γραφειο Τυπου και Δημοσιων Σχεσεων</t>
  </si>
  <si>
    <t>ΒΕΔΧΩ10-Ξ05</t>
  </si>
  <si>
    <t>Εγκριση διενεργειας προμηθειας ενος (1) ηχομετρου Τυπου Ι, ετους 2013.</t>
  </si>
  <si>
    <t>ΒΕΔΧΩ10-ΑΦΘ</t>
  </si>
  <si>
    <t>Εγκριση διενεργειας προμηθειας ενος (1) αναλυτη καυσαεριων, ετους 2013.</t>
  </si>
  <si>
    <t>ΒΕΔΧΩ10-Π4Ξ</t>
  </si>
  <si>
    <t>Εγκριση διενεργειας προμηθειας και εγκαταστασης λεβητα και καυστηρα για το 3ο Νηπιαγωγιο του Δημου Σερρων, ετους 2013.</t>
  </si>
  <si>
    <t>ΒΕΑΛΩ10-Ν86</t>
  </si>
  <si>
    <t>Εγκριση διενεργειας προμηθειας λαπτηρων και ηλεκτρολογικου υλικου, ετους 2013 και εγκριση πρακτικου κληρωσης επιτροπης παραλαβης της προμηθειας.</t>
  </si>
  <si>
    <t>Τμ. Η/Μ Εργων Ενεργειακων Εφαρμογων</t>
  </si>
  <si>
    <t>ΒΕΔΖΩ10-ΜΩ0</t>
  </si>
  <si>
    <t>Εγκριση διενεργειας προμηθειας ειδων καθαριοτητας, ετους 2013 και ψηφιση σχετικης πιστωσης.</t>
  </si>
  <si>
    <t>Τμ. Προμηθειων</t>
  </si>
  <si>
    <t>ΒΕΔ8Ω10-ΖΩΖ</t>
  </si>
  <si>
    <t>Εγκριση δαπανης για την μεταδοση μηνυματων κοινωνικου χαρακτηρα (τεσσαρων τηλεοπτικων - τεσσαρων ραδιοφωνικων) των υπηρεσιων του Δημου μας.</t>
  </si>
  <si>
    <t>Γραφειο Τυπου και Δημοσιων Σχεσων</t>
  </si>
  <si>
    <t>ΒΕ2ΠΩ10-ΛΞΙ</t>
  </si>
  <si>
    <t>Σχετικα με μειωση αντικειμενικων αξιων των ακινητων στο Δημο Σερρων.</t>
  </si>
  <si>
    <t>ΒΕΑΦΩ10-ΑΘΨ</t>
  </si>
  <si>
    <t>Αναμορφωση πιστωσεων εγκεκριμενου προυπολογισμου οικ. ετους 2013 για την πληρωμη οφειλομενων εισφορων ετους 2012.</t>
  </si>
  <si>
    <t>Τμ.Λογιστηριου</t>
  </si>
  <si>
    <t>ΒΕ2ΩΩ10-69Θ</t>
  </si>
  <si>
    <t>Εγκριση εμκισθωσης της αιθουσας συνεδριασεων του πρωην Δημαρχειου Σκουταρεως.</t>
  </si>
  <si>
    <t>ΒΕΔΖΩ10-8ΙΕ</t>
  </si>
  <si>
    <t>Σχετικα με συναψη δανειου 2.000.000,00€ για την αποπερατωση του κολυμβητηριου του Αθλητικου Παρκου Ομονοιας.</t>
  </si>
  <si>
    <t>Ηλιας Γκοτσης</t>
  </si>
  <si>
    <t>ΒΕ27Ω10-81Σ</t>
  </si>
  <si>
    <t>Εγκριση και παραλαβης μελετης με τιτλο:« ΜΕΛΕΤΗ ΠΕΡΙΒΑΛΛΟΝΤΙΚΩΝ ΕΠΙΠΤΩΣΕΩΝ ΓΙΑ ΤΗΝ ΤΡΟΠΟΠΟΙΗΣΗ ΤΩΝ ΠΕΡΙΒΑΛΛΟΝΤΙΚΩΝ ΟΡΩΝ ΤΟΥ ΧΥΤΑ ΔΗΜΟΥ ΣΕΡΡΩΝ ΑΕΠΟ 5151/17.06.2008«Τροποποιηση της με αρ.πρωτ.5945/19.07.2007 ΑΕΠΟ για την κατασκευη και λειτουργια του ΧΥΤΑ Δημου Σερρων Ν. Σερρων(Επεκταση-Εργα αποκαταστασης)».</t>
  </si>
  <si>
    <t>ΒΕ26Ω10-Κ2Κ</t>
  </si>
  <si>
    <t>Εγκριση μελετης του εργου:"Συμπληρωματικα εργα αναπλασεων στην οδο Μ.Αλεξανδρου - Β.Βασιλειου", πρ/σμου 12.500,00€.</t>
  </si>
  <si>
    <t>ΒΕΑΛΩ10-9Ι5</t>
  </si>
  <si>
    <t>Εγκριση μελετης του εργου:"Συντηρηση και ανακατασκευη περιφραξης νεκροταφειων Δ.Κ. Λευκωνα", πρ/σμου 12.000,00€.</t>
  </si>
  <si>
    <t>ΒΕΑΛΩ10-ΣΤΨ</t>
  </si>
  <si>
    <t>Εγκριση μελετης του εργου:"Τσιμεντοστρωση - ασφαλτοστρωση και κατασκευη πεζοδρομιων στην Τ.Κ. Βαμβακιας", πρ/σμου 14.000,00€.</t>
  </si>
  <si>
    <t>ΒΕΔΧΩ10-ΝΗΥ</t>
  </si>
  <si>
    <t>Εγκριση μελετης παροχης υπηρεσιων με τιτλο:"Απομακρυνση κατακειμενων και εκριζωμενων δενδρων μετα απο θεομηνιες σε κοινοχρηστους χωρους του Δημου Σερρων" ετους 2012.</t>
  </si>
  <si>
    <t>Τμ. Πρασινου</t>
  </si>
  <si>
    <t>ΒΕΑΦΩ10-269</t>
  </si>
  <si>
    <t>Έγκριση διενέργειας προµήθειας ειδών διαγράµµισης του ∆ήµου Σερρών έτους 2013.</t>
  </si>
  <si>
    <t>Τμ.Κυκλοφοριακού Σχεδιασµού και Συγκοινωνίας</t>
  </si>
  <si>
    <t>ΒΕ2ΩΩ10-Τ6Σ</t>
  </si>
  <si>
    <t>Έγκριση Προϋπολογιστικού Πίνακα: ¨Τοποθέτηση φωτιστικών σωµάτων στην πλατεία Εµπορίου στο χώρο της δηµοτικής αγοράς¨, πρ/σµού 4.495,65 €.</t>
  </si>
  <si>
    <t>Τµ. Η/Μ Έργων, Ενεργειακών Εφαρµογών και Υπηρεσιών</t>
  </si>
  <si>
    <t>ΒΕ26Ω10-ΛΕ3</t>
  </si>
  <si>
    <t>Έγκριση Προϋπολογιστικού Πίνακα εργασιών αποπεράτωσης ηλεκτρολογικών εγκαταστάσεων και προµήθειας µε τοποθέτηση πυροσβεστικών ειδών για τα 9ο– 32ο Νηπιαγωγεία του ∆ήµου Σερρών.</t>
  </si>
  <si>
    <t>ΒΕΙΚΩ10-ΤΝΔ</t>
  </si>
  <si>
    <t>Εγκριση της υπ'αριθμ. 197/2012 αποφασης του Δ.Σ. του Ν.Π.Δ.Δ του Δημου Σερρων με θεμα:«Εγκριση Οργανισμου Εσωτερικης Υπηρεσιας του νεου Ν.Π. με την επωνυμια "Οργανισμος Προσχολικης Αγωγης, Κοινωνικης Πολιτικης και Αθλητισμου Δημου Σερρων"».</t>
  </si>
  <si>
    <t>ΒΕ2ΩΩ10-9ΣΙ</t>
  </si>
  <si>
    <t>Έγκριση Προϋπολογιστικού Πίνακα επισκευής- συντήρησης της κεντρικής θέρµανσης του 5ου Γυµνασίου και προµήθειας FAN-COIL για το Ειδικό Σχολείο Σερρών.</t>
  </si>
  <si>
    <t>ΒΕ2ΩΩ10-ΞΗΨ</t>
  </si>
  <si>
    <t>Έγκριση Προϋπολογιστικού Πίνακα επισκευής- συντήρησης της κεντρικής θέρµανσης του 2ου Γυµνασίου, του νηπιαγωγείου Κ. Καµήλας και Καλών ∆ένδρων.</t>
  </si>
  <si>
    <t>ΒΕ2ΩΩ10-ΧΛ4</t>
  </si>
  <si>
    <t>Έγκριση Προϋπολογιστικού Πίνακα και τεχνικής περιγραφής, καθώς και τρόπος εκτέλεσης των εργασιών ¨Αξιοποίηση πλακόστρωση πάρκου Τσαλαπάτα Τ.Κ. Κουβουκλίου¨.</t>
  </si>
  <si>
    <t>ΒΕ26Ω10-ΓΔ6</t>
  </si>
  <si>
    <t>Έγκριση του 1ου Ανακεφαλαιωτικού Πίνακα εργασιών του έργου: «Ανακατασκευή πεζοδροµίων σε τµήµατα των οδών Γ. Παπανδρέου, Εφόρων και ∆. Σολωµού» και παράταση προθεσµίας περαίωσης των εργασιών αυτού.</t>
  </si>
  <si>
    <t>ΒΕΔΧΩ10-Θ9Ι</t>
  </si>
  <si>
    <t>Έγκριση παράτασης προθεσµίας του έργου: « Πεζοδρόµηση τµήµατος οδού Μεραρχίας».</t>
  </si>
  <si>
    <t>ΒΕΝ0Ω10-ΥΤΦ</t>
  </si>
  <si>
    <t>Έγκριση καταβολής αποζηµίωσης στην Αληπλιώτου-∆ελλή Καλλιτροπία του Αντωνίου, πρώην ∆ηµοτικής Υπαλλήλου, λόγω συνταξιοδότησης.</t>
  </si>
  <si>
    <t>Τμ.Προσωπικού</t>
  </si>
  <si>
    <t>ΒΕΑΞΩ10-9Ε3</t>
  </si>
  <si>
    <t>Έγκριση καταβολής αποζηµίωσης στην κα ∆εδούση Τσιακίρη Χρυσούλα του Πασχάλη, πρώην ∆ηµοτικής Υπαλλήλου, λόγω συνταξιοδότησης.</t>
  </si>
  <si>
    <t>ΒΕ2ΠΩ10-Ψ6Ξ</t>
  </si>
  <si>
    <t>Έγκριση καταβολής αποζηµίωσης στην κα Κατή Στεργιανή του ∆ηµητρίου, πρώην ∆ηµοτικής Υπαλλήλου, λόγω συνταξιοδότησης.</t>
  </si>
  <si>
    <t>ΒΕ2ΠΩ10-8Ε7</t>
  </si>
  <si>
    <t>Έγκριση καταβολής αποζηµίωσης στην κα Ζαχαρίου Αγγελική του ∆ηµητρίου, πρώην ∆ηµοτικής Υπαλλήλου, λόγω συνταξιοδότησης.</t>
  </si>
  <si>
    <t>ΒΕ2ΠΩ10-Η77</t>
  </si>
  <si>
    <t>Έγκριση καταβολής αποζηµίωσης στην κα Φέτκου Αθανασία του ∆ηµητρίου, πρώην ∆ηµοτικής Υπαλλήλου, λόγω συνταξιοδότησης.</t>
  </si>
  <si>
    <t>ΒΕ2ΠΩ10-ΠΕ2</t>
  </si>
  <si>
    <t>Συµπληρωµατική έγκριση καταβολής αποζηµίωσης στην κα Παπαδοπούλου Αναστασία του ∆ηµητρίου, πρώην ∆ηµοτικής Υπαλλήλου, λόγω συνταξιοδότησης.</t>
  </si>
  <si>
    <t>ΒΕ2ΠΩ10-ΡΧΓ</t>
  </si>
  <si>
    <t>Συµπληρωµατική έγκριση καταβολής αποζηµίωσης στην κα Μπουρβάνη Άννα του Βασιλείου, πρώην ∆ηµοτικής Υπαλλήλου, λόγω συνταξιοδότησης.</t>
  </si>
  <si>
    <t>ΒΕ27Ω10-Γ3Π</t>
  </si>
  <si>
    <t>Συµπληρωµατική έγκριση καταβολής αποζηµίωσης στην κα Κοβανίδου Ελισάβετ του Μιχαήλ, πρώην ∆ηµοτικής Υπαλλήλου, λόγω συνταξιοδότησης.</t>
  </si>
  <si>
    <t>ΒΕ27Ω10-Ξ3Θ</t>
  </si>
  <si>
    <t>Συµπληρωµατική έγκριση καταβολής αποζηµίωσης στην κα Πεζιρκιανίδου Βαία του Ιωάννη, πρώην ∆ηµοτικής Υπαλλήλου, λόγω συνταξιοδότησης.</t>
  </si>
  <si>
    <t>ΒΕ27Ω10-ΔΞ4</t>
  </si>
  <si>
    <t>Συµπληρωµατική έγκριση καταβολής αποζηµίωσης στην κα Κολτούκη Νίνα του Γεωργίου, πρώην ∆ηµοτικής Υπαλλήλου, λόγω συνταξιοδότησης.</t>
  </si>
  <si>
    <t>ΒΕ2ΨΩ10-Γ5Μ</t>
  </si>
  <si>
    <t>Έγκριση συµµετοχής εκπροσώπων του ∆ήµου Σερρών στην 3η Τεχνική Συνάντηση και στο 2ο Θεµατικό Εργαστήριο στοBansko της Βουλγαρίας, 1-2 Απριλίου 2013, στο πλαίσιο του έργου “EASY TRIP : GR-BG EMOBILITY SOLUTIONS” (Ευρωπαϊκή Εδαφική Συνεργασία «ΕΛΛΑ∆Α-ΒΟΥΛΑΡΙΑ2007-2013»).</t>
  </si>
  <si>
    <t>Τµήµατος Προγραµµατισµού</t>
  </si>
  <si>
    <t>ΒΕΑΑΩ10-ΗΔΕ</t>
  </si>
  <si>
    <t>Έγκριση συµµετοχής στην τρίτη τεχνική συνάντηση του έργου«Ενεργειακή Αποδοτικότητα στις αστικές εµπορευµατικές µεταφορές(Energy efficiency in City Logistics Services-ENCLOSE)».</t>
  </si>
  <si>
    <t>Τµ. Κυκλοφοριακού Σχεδιασµού και Συγκοινωνίας</t>
  </si>
  <si>
    <t>ΒΕΑΤΩ10-ΕΧΡ</t>
  </si>
  <si>
    <t>Αναµόρφωση Ετήσιου Προγράµµατος ∆ράσης αναφορικά µε τις παροχές υπηρεσιών στο πλαίσιο του έργου «Ενεργειακή αποδοτικότητα στις αστικές εµπορευµατικές µεταφορές(ακρωνύµιοENCLOSE)».</t>
  </si>
  <si>
    <t>Τµήµατος Κυκλοφοριακού Σχεδιασµού και Συγκοινωνίας</t>
  </si>
  <si>
    <t>ΒΕΑΤΩ10-ΧΦΑ</t>
  </si>
  <si>
    <t>Έγκριση µετάβασης εκπροσώπων του ∆ήµου Σερρών στην 10η Ετήσια έκδοση της ανερχοµένης Παγκόσµιας Τουριστικής Έκθεση«Πολιτιστικός Τουρισµός2013», που θα πραγµατοποιηθεί στην πόλη Βελίκο Τίρνοβο Βουλγαρίας από τις 18/4 µέχρι 20/4/2013.</t>
  </si>
  <si>
    <t>Γραφείου Τύπου και ∆ηµοσίων Σχέσεων</t>
  </si>
  <si>
    <t>ΒΕΙΛΩ10-ΔΞΗ</t>
  </si>
  <si>
    <t>Ορισμος μελων για την επιτροπη διενεργειας δημοπρασιων [αρθρου 1 του ΠΔ 270/11.3.1981(ΦΕΚ 77)], για το ετος 2013.</t>
  </si>
  <si>
    <t>Τμ.Προσοδων και Δημοσιας Περιουσιας</t>
  </si>
  <si>
    <t>ΒΕΑ1Ω10-ΖΚΕ</t>
  </si>
  <si>
    <t>Έγκριση πραγµατοποίησης Τουρνουά basket 3Χ3, που θα πραγµατοποιηθεί στις 20 Απριλίου 2013 και 21 Απριλίου 2013 και ψήφιση σχετικής πίστωσης.</t>
  </si>
  <si>
    <t>Τµήµατος Αθλητισµού</t>
  </si>
  <si>
    <t>ΒΕΑ1Ω10-391</t>
  </si>
  <si>
    <t>Έγκριση πραγµατοποίησης Τουρνουά εργαζοµένων basket, που θα πραγµατοποιηθεί στις 9 Απριλίου 2013 έως 31 Αυγούστου 2013 και ψήφιση σχετικής πίστωσης.</t>
  </si>
  <si>
    <t>ΒΕΑΗΩ10-703</t>
  </si>
  <si>
    <t>Έγκριση συνδιοργάνωσης του Πανελληνίου Πρωταθλήµατος Εφήβων-Νεανίδων Ελληνορωµαϊκής – Ελευθέρας Πάλης που θα πραγµατοποιηθεί στις Σέρρες από 20 Απριλίου 2013 και ψήφιση σχετικής πίστωσης.</t>
  </si>
  <si>
    <t>ΒΕΑΥΩ10-ΘΙΦ</t>
  </si>
  <si>
    <t>Έγκριση προγραµµατισµού προσλήψεων προσωπικού µε σχέση εργασίας Ιδιωτικού ∆ικαίου Ορισµένου Χρόνου και µίσθωσης έργου του ∆ήµου Σερρών, για το έτος 2013.</t>
  </si>
  <si>
    <t>Τµήµατος ∆/κών Υπηρεσιών</t>
  </si>
  <si>
    <t>ΒΕΑΣΩ10-ΕΕΞ</t>
  </si>
  <si>
    <t>Σύσταση και συγκρότηση επιτροπής για τη διευκόλυνση της παρακολούθησης και αξιολόγησης των Ετησίων Προγραµµάτων ∆ράσης του ∆ήµου Σερρών στο πλαίσιο του Επιχειρησιακού Προγράµµατος του ∆ήµου Σερρών 2012-2014.</t>
  </si>
  <si>
    <t>Τµ. Προγραµµατισµού, Ανάπτυξης Ποιότητας και Αποδοτικότητας</t>
  </si>
  <si>
    <t>ΒΕΑΤΩ10-ΕΝΑ</t>
  </si>
  <si>
    <t>Συγκρότηση Επιτροπής του άρθρου 32 Ν. 1080/1980 (δια συµβιβασµού επίλυσης διαφορών), για το έτος2013.</t>
  </si>
  <si>
    <t>Τµήµατος Προσόδων και ∆ηµόσιας Περιουσίας</t>
  </si>
  <si>
    <t>ΒΕΑΗΩ10-ΑΥΧ</t>
  </si>
  <si>
    <t>Έγκριση πρακτικού της επιτροπής επίλυσης δια συµβιβασµού φορολογικών διαφορών και αµφισβητήσεων, του άρθ. 32 του Ν. 1080/80, σχετικά µε την προσφυγή της ΚΑΡΑΜΠΕΤΣΙΟΣ&amp; ΣΙΑ Ο.Ε. (ΚΑΦΕ ΒΟΛΤΑ).</t>
  </si>
  <si>
    <t>Τµήµατος Προσόδων</t>
  </si>
  <si>
    <t>ΒΕΑΗΩ10-75Λ</t>
  </si>
  <si>
    <t>Έγκριση πρακτικού της επιτροπής επίλυσης δια συµβιβασµού φορολογικών διαφορών και αµφισβητήσεων, του άρθ. 32 του Ν. 1080/80, σχετικά µε την προσφυγή της κας ΠΑΣΧΑΛΗ ΒΑΣΙΛΙΚΗΣ ΤΟΥ ΣΩΤΗΡΙΟΥ (ΠΕΡΙ ΚΡΕΠΑΣ).</t>
  </si>
  <si>
    <t>ΒΕΑΗΩ10-ΙΙΩ</t>
  </si>
  <si>
    <t>ΒΕΑΗΩ10-Υ3Τ</t>
  </si>
  <si>
    <t>ΒΕΙΛΩ10-ΑΑ5</t>
  </si>
  <si>
    <t>Ορισμος δημοτικων συμβουλων για την επιτροπη της παρ.5 του αρθρου 186 του Ν.3463/2006 (ΦΕΚ 114/8-6-2006 τ.Α.) "Κυρωση του Κωδικα Δημων και Κοινοτητων".</t>
  </si>
  <si>
    <t>Τμ.Διαχειρισης Ακινητης Περιουσιας</t>
  </si>
  <si>
    <t>ΒΕΑΗΩ10-73Β</t>
  </si>
  <si>
    <t>Έγκριση πρακτικού της επιτροπής επίλυσης δια συµβιβασµού φορολογικών διαφορών και αµφισβητήσεων, του άρθ. 32 του Ν. 1080/80, σχετικά µε την προσφυγή της ΧΑΣΙΩΤΗΣ ΣΩΚΡΑΤΗΣ&amp; ΣΙΑ Ε.Ε. (ΚΑΦΕ ΜΕΛΙ ΓΑΛΑ).</t>
  </si>
  <si>
    <t>ΒΕΑΗΩ10-0ΞΦ</t>
  </si>
  <si>
    <t>Έγκριση πρακτικού της επιτροπής επίλυσης δια συµβιβασµού φορολογικών διαφορών και αµφισβητήσεων, του άρθ. 32 του Ν. 1080/80, σχετικά µε την προσφυγή της ΧΑΣΙΩΤΗΣ ΣΩΚΡΑΤΗΣ &amp; ΣΙΑ Ε.Ε. (ΚΑΦΕ ΜΕΛΙ ΓΑΛΑ).</t>
  </si>
  <si>
    <t>ΒΕΑΗΩ10-ΣΕ5</t>
  </si>
  <si>
    <t>Έγκριση πρακτικού της επιτροπής επίλυσης δια συµβιβασµού φορολογικών διαφορών και αµφισβητήσεων, του άρθ. 32 του Ν. 1080/80, σχετικά µε την προσφυγή της ΧΑΣΙΩΤΗΣ ΣΩΚΡΑΤΗΣ&amp; ΣΙΑ Ε.Ε. (ΚΑΦΕ ΜΕΛΙ ΓΑΛΑ)</t>
  </si>
  <si>
    <t>ΒΕΑΗΩ10-97Ο</t>
  </si>
  <si>
    <t>ΒΕΑΗΩ10-3ΚΧ</t>
  </si>
  <si>
    <t>Έγκριση πρακτικού της επιτροπής επίλυσης δια συµβιβασµού φορολογικών διαφορών και αµφισβητήσεων, του άρθ. 32 του Ν. 1080/80, σχετικά µε την προσφυγή της ΣΠΛΗΝΑ ΜΕΛΠΟΜΕΝΗΣ του ΚΩΝ/ΝΟΥ (ΚΑΦΕ ΜΕΛΙ ΓΑΛΑ).</t>
  </si>
  <si>
    <t>ΒΕΑΗΩ10-ΙΝΗ</t>
  </si>
  <si>
    <t>ΒΕΑΦΩ10-ΣΩ3</t>
  </si>
  <si>
    <t>ΒΕΑΦΩ10-ΠΗ3</t>
  </si>
  <si>
    <t>ΒΕΑΙΩ10-ΘΡ1</t>
  </si>
  <si>
    <t>Έγκριση της υπ’ αριθµ. 85/2013 απόφασης του ∆.Σ. της ∆ΕΥΑΣ µε τίτλο: «Μείωση τιµολογίων νερού ∆ΕΥΑ Σερρών, διεύρυνση ειδικού τιµολογίου για Κοινωνικά Ευπαθείς Οµάδες και διεύρυνση παροχής κινήτρων για την πληρωµή λογαριασµών µέσω παγίων εντολών».</t>
  </si>
  <si>
    <t>Σαφαρίκα Νικολάου</t>
  </si>
  <si>
    <t>∆.Ε.Υ.Α.Σ</t>
  </si>
  <si>
    <t>ΒΕΑΤΩ10-35Ο</t>
  </si>
  <si>
    <t>Έγκριση της αρ. 58 / 2013 απόφασης του ∆/κού Συµβουλίου της«Κ.Ε.∆Η.Σ.», περί &lt;Τροποποίηση και Αναµόρφωση προϋπολογισµού της Κ.Ε.∆.Η.Σ., χρήσης2013&gt;.</t>
  </si>
  <si>
    <t>∆ήµου Ιωάννης</t>
  </si>
  <si>
    <t>Κ.Ε.∆Η.Σ.</t>
  </si>
  <si>
    <t>ΒΕΥΙΩ10-ΧΑΛ</t>
  </si>
  <si>
    <t>Συκροτηση τριμελους επιτροπης για αυθαιρετη βοσκη.</t>
  </si>
  <si>
    <t>Τμηματος Αγροτικης και Κτηνοτρ.Παραγωγης και Αλειας</t>
  </si>
  <si>
    <t>ΒΕΑΗΩ10-Δ0Δ</t>
  </si>
  <si>
    <t>Ενηµέρωση του ∆.Σ. επί των αριθµ. 1, 2, 3 και 4/2013 αποφάσεων του ∆/κού Συµβουλίου της ∆ηµοτικής Κοινωφελούς Επιχείρησης «∆ΗΜΟΤΙΚΟ ΠΕΡΙΦΕΡΕΙΑΚΟ ΘΕΑΤΡΟ ΣΕΡΡΩΝ» (∆Η.ΠΕ.ΘΕ.).</t>
  </si>
  <si>
    <t>Μπιτζίδου Σοφία</t>
  </si>
  <si>
    <t>∆Η.Κ.Ε. «∆Η.ΠΕ.ΘΕ.» Σερρών</t>
  </si>
  <si>
    <t>ΒΕΝΤΩ10-ΡΛΗ</t>
  </si>
  <si>
    <t>Έγκριση διενέργειας προµήθειας «Ανταλλακτικά µηχανηµάτων και αυτοκινήτων του ∆ήµου Σερρών», για το έτος 2013 και ψήφιση σχετικής πίστωσης.</t>
  </si>
  <si>
    <t>Δ/νση Καθαριότητας</t>
  </si>
  <si>
    <t>ΒΕΑΙΩ10-7ΣΛ</t>
  </si>
  <si>
    <t>Έγκριση σύναψης προγραµµατικής σύµβασης µεταξύ της Περιφέρειας Κ. Μακεδονίας, ΑΝ.Ε.ΣΕΡ. και ∆ήµου Σερρών, για την εφαρµογή ολοκληρω-µένου προγράµµατος καταπολέµησης κουνουπιών στην Περιφερειακή Ενότητα Σερρών για το έτος2013.</t>
  </si>
  <si>
    <t>ΒΕΑΘΩ10-ΕΝΖ</t>
  </si>
  <si>
    <t>Έγκριση ανάθεσης παροχής υπηρεσίας είσπραξης του ανταποδοτικού τέλους στην ∆ΕΥΑ Σερρών, για την εφαρµογή ολοκληρωµένου προγράµµατος καταπολέµησης κουνουπιών στην περιοχή του ∆ήµου Σερρών.</t>
  </si>
  <si>
    <t>ΒΕΑΗΩ10-ΘΔΛ</t>
  </si>
  <si>
    <t>Έγκριση δαπάνης προσφοράς δεµάτων αγάπης σε άπορους δηµότες του ∆ήµου Σερρών για τις εορτές του Πάσχα και ψήφιση σχετικής πίστωσης.</t>
  </si>
  <si>
    <t>Μερετούδη ∆ηµήτριου</t>
  </si>
  <si>
    <t>Κοινωνικής Μέριµνας και ∆ηµόσιας Υγείας</t>
  </si>
  <si>
    <t>ΒΕΑΗΩ10-ΤΤ1</t>
  </si>
  <si>
    <t>Έγκριση προµήθειας δάφνινων στεφανιών και ψήφιση σχετικής πίστωσης.</t>
  </si>
  <si>
    <t>ΒΕΑ2Ω10-ΚΕΔ</t>
  </si>
  <si>
    <t>Πρόταση για συνεργασία της Αυτοδιοίκησης Ελλήνων Νέας Πέστης – Ujpest µε τον ∆ήµο Σερρών.</t>
  </si>
  <si>
    <t>Γραφείου Τύπου και ∆ηµοσίων Σχέσεων του ∆ήµου</t>
  </si>
  <si>
    <t>ΒΕΝΤΩ10-ΠΗΚ</t>
  </si>
  <si>
    <t>Αντικατάσταση εκτελεστή διαθήκης Παναγιώτη Κανάκη.</t>
  </si>
  <si>
    <t>Τµ. Προσόδων και ∆ηµόσιας Περιουσίας</t>
  </si>
  <si>
    <t>ΒΕΑΣΩ10-ΑΥΚ</t>
  </si>
  <si>
    <t>Έγκριση κλεισίµατος τραπεζικών λογαριασµών συγχρηµατοδοτούµενων έργων από το Γ’ Κοινοτικό Πλαίσιο Στήριξης.</t>
  </si>
  <si>
    <t>Τµ. Προγραµµατισµού, Ανάπτυξης, Ποιότητας και Αποδοτικότητας</t>
  </si>
  <si>
    <t>ΒΕΑΘΩ10-Λ57</t>
  </si>
  <si>
    <t>Έγκριση µελέτης του έργου: ¨∆ιαµόρφωση πάρκων και κοινοχρήστων χώρων Τ.Κ. Μητρουσίου¨, πρ/σµού18.000,00 €.</t>
  </si>
  <si>
    <t>ΒΕΙΕΩ10-ΥΟ9</t>
  </si>
  <si>
    <t>Καθορισμος ανωτατου επιτρεπτου χρηματικου οριου χρησης υπηρεσιων κινητης τηλεφωνιας για την καλυψη υπηρεσιακων αναγκων.</t>
  </si>
  <si>
    <t>ΒΕΑΘΩ10-ΧΑΡ</t>
  </si>
  <si>
    <t>Έγκριση µελέτης του έργου: ¨∆ιαµόρφωση κοινοχρήστων χώρων Τ.Κ. Καλών ∆ένδρων¨, πρ/σµού23.000,00 €.</t>
  </si>
  <si>
    <t>ΒΕΑΥΩ10-ΞΘΔ</t>
  </si>
  <si>
    <t>Έγκριση µελέτης του έργου: ¨Συντηρήσεις στα 1ο,2ο,3ο,9ο,12ο,14ο ∆ηµοτικά Σχολεία και νηπιαγωγείο Προβατά¨, πρ/σµού17.500,00 €.</t>
  </si>
  <si>
    <t>ΒΕΑΦΩ10-ΞΤΗ</t>
  </si>
  <si>
    <t>Έγκριση µελέτης του έργου: ¨Κατασκευή σωληνωτών αγωγών– φρεατίων και αρδευτικής τάφρου¨, πρ/σµού12.220,00 €.</t>
  </si>
  <si>
    <t>ΒΕΑΦΩ10-ΞΜΖ</t>
  </si>
  <si>
    <t>Έγκριση µελέτης του έργου: ¨Κατασκευή πεζοδροµίου στην οδό Τσαµαδού¨, πρ/σµού 10.000,00 €.</t>
  </si>
  <si>
    <t>ΒΕΑΥΩ10-ΤΣΕ</t>
  </si>
  <si>
    <t>Έγκριση µελέτης του έργου: ¨Συντηρήσεις – κατασκευές στα 9ο και 32ο Νηπιαγωγεία του ∆ήµου Σερρών¨, πρ/σµού17.500,00 €.</t>
  </si>
  <si>
    <t>ΒΕΑΥΩ10-1ΜΥ</t>
  </si>
  <si>
    <t>Έγκριση µελέτης του έργου: ¨Συντηρήσεις – µικροκατασκευές σχολικών διδακτηρίων ∆ήµου Σερρών¨, πρ/σµού17.500,00 €.</t>
  </si>
  <si>
    <t>ΒΛ1ΨΩ10-0ΛΞ</t>
  </si>
  <si>
    <t>Έγκριση µελέτης του έργου: ¨Επισκευές - συντηρήσεις στο ∆ηµοτικό Σχολείο και το Γυµνάσιο της ∆.Κ. Λευκώνα¨, πρ/σµού12.000,00 €.</t>
  </si>
  <si>
    <t>ΒΕΑΙΩ10-Χ44</t>
  </si>
  <si>
    <t>Έγκριση διενέργειας προµήθειας οικοδοµικών υλικών έργων αυτεπιστασίας ∆ήµου Σερρών έτους2013.</t>
  </si>
  <si>
    <t>∆/νσης Τεχνικών Υπηρεσιών</t>
  </si>
  <si>
    <t>ΒΕΑΦΩ10-02Μ</t>
  </si>
  <si>
    <t>Έγκριση διενέργειας προµήθειας ψυχρής ασφάλτου του ∆ήµου Σερρών έτους 2013.</t>
  </si>
  <si>
    <t>∆/νσης Τεχνικών Υπηρεσιών του ∆ήµου</t>
  </si>
  <si>
    <t>ΒΕΥΗΩ10-ΞΨΛ</t>
  </si>
  <si>
    <t>Καθορισμος του αριθμου και των ειδικοτητων του προσωπικου με συμβαση εργασιας ιδιωτικου δικαιου ορισμενου χρονου για το Δημο Σερρων προς υλοποιηση της λειτουργειας του Κεντρου Συμβουλευτικης Υποστηριξης γυναικων θυματων βιας στο Δημο Σερρων στο πλαισιο της ενταγμενης πραξης «Αναπτυξη Δομων και Υπηρεσιων της Τοπικης Αυτοδιοικησης προς οφελος των γυναικων και για την καταπολεμηση της βιας-Δημιουργια Κεντρων Συμβουλευτικης Υποστηριξης Γυναικων θυματων βιας σε τοπικο επιπεδο στον Αξονα Προτεραιοτητας 08» του Επιχειρησιακου Προγραμματος «Διοικητικη Μεταρρυθμιση 2007-2013» (επι τη βασει των αιτηματων προσωπικου που σταλθηκαν στο Υπουργειο Εσωτερικων και εγκριθηκαν με την αριθμ. πρωτ.: ΔΙΠΠ/Φ.ΕΓΚΡ.1/118/26314/18-12-2012 αποφαση της Επιτροπης του αρθ.2 παρ.1 της αριθμ.33/2006 ΠΥΣ).</t>
  </si>
  <si>
    <t>Μυλωνα Δημητρα</t>
  </si>
  <si>
    <t>Κοινωνικη Προστασια, Υγειας Παιδειας και Πολιτισμου</t>
  </si>
  <si>
    <t>ΒΕΑΘΩ10-3ΟΓ</t>
  </si>
  <si>
    <t>Έγκριση επικαιροποίησης της µελέτης του έργου ¨Καινοτόµο σύστηµα εξοικονόµησης πόρων µέσω βελτιστοποίησης της συλλογής απορριµµάτων και της κατανάλωσης καυσίµων στο ∆ήµο Σερρών¨.</t>
  </si>
  <si>
    <t>∆/νσης Καθαριότητας</t>
  </si>
  <si>
    <t>ΒΕΑΘΩ10-ΣΝΒ</t>
  </si>
  <si>
    <t>Έγκριση τροποποίησης χρονοδιαγράµµατος και µετάθεση του χρόνου παράδοσης των υπό προµήθεια υλικών του έργου: « Καινοτόµο σύστηµα εξοικονόµησης πόρων µέσω βελτιστοποίησης της συλλογής απορριµµάτων και της κατανάλωσης καυσίµων στο ∆ήµο Σερρών».</t>
  </si>
  <si>
    <t>ΒΕΑΘΩ10-ΔΡΞ</t>
  </si>
  <si>
    <t>Έγκριση µελέτης παροχής υπηρεσιών µε τίτλο: «Αποκοµιδή Απορριµµάτων ∆.Ε. Σερρών», πρ/σµού22.600,00 €.</t>
  </si>
  <si>
    <t>ΒΕΑΘΩ10-Λ6Μ</t>
  </si>
  <si>
    <t>Έγκριση µελέτης παροχής υπηρεσιών µε τίτλο: «Αποκοµιδή Απορριµµάτων ∆.Ε. Σκουτάρεως», πρ/σµού22.600,00 €.</t>
  </si>
  <si>
    <t>ΒΕΑ2Ω10-4Ν0</t>
  </si>
  <si>
    <t>Έγκριση µελέτης της παροχής υπηρεσιών: ¨Συντήρηση δικτύου φωτεινής σηµατοδότησης ∆ήµου Σερρών έτους2013¨.</t>
  </si>
  <si>
    <t>ΒΕΑΦΩ10-ΙΣ0</t>
  </si>
  <si>
    <t>Έγκριση του 1ου ΑΠΕ και 1ου ΠΚΤΜΝΕ του έργου: «Κατασκευή 12θέσιου ∆ηµοτικού Σχολείου Σερρών(6ο∆ηµοτικό Σχολείο Σερρών)».</t>
  </si>
  <si>
    <t>ΒΕΑΦΩ10-ΖΩΧ</t>
  </si>
  <si>
    <t>Έγκριση 1ου ΑΠΕ και 1ου ΠΚΤΜΝΕ του έργου: «∆ιαµόρφωση κεντρικής πλατείας Τ∆ Κάτω Καµήλας».</t>
  </si>
  <si>
    <t>ΒΕΑΦΩ10-ΚΜΨ</t>
  </si>
  <si>
    <t>Έγκριση 1ου ΑΠΕ του έργου: «Επισκευή στέγης 6ου Γυµνασίου».</t>
  </si>
  <si>
    <t>ΒΕΑΗΩ10-ΣΑ3</t>
  </si>
  <si>
    <t>Έγκριση παράτασης προθεσµίας περαίωσης του έργου: ¨∆ιαµόρφωση κεντρικής πλατείας Τ.∆. Κάτω Καµήλας¨.</t>
  </si>
  <si>
    <t>ΒΕΑΗΩ10-ΙΕΝ</t>
  </si>
  <si>
    <t>Έγκριση παράτασης προθεσµίας περαίωσης του έργου: ¨∆ιαµόρφωση κεντρικής πλατείας Τ.∆. Σκουτάρεως¨.</t>
  </si>
  <si>
    <t>ΒΕΥΗΩ10-ΗΞΖ</t>
  </si>
  <si>
    <t>Εγκριση καταστροφης και εκποιησης αχρηστων υλικων του Δημου</t>
  </si>
  <si>
    <t>Δ/νση Καθ/τας</t>
  </si>
  <si>
    <t>ΒΕΑΗΩ10-Ο0Ρ</t>
  </si>
  <si>
    <t>Έγκριση παράτασης προθεσµίας εκτέλεσης εργασιών του έργου: ¨Εργασίες στατικής επάρκειας κερκίδας νοτίου πετάλου ∆ηµοτικού Γηπέδου Σερρών¨.</t>
  </si>
  <si>
    <t>ΒΕΑΗΩ10-Γ3Ν</t>
  </si>
  <si>
    <t>Έγκριση παράτασης προθεσµίας εκτέλεσης εργασιών του έργου: ¨∆ιανοίξεις – ασφαλτοστρώσεις οδών στην περιοχή Οµόνοια- Καλύβια¨.</t>
  </si>
  <si>
    <t>ΒΕΑΗΩ10-ΩΑΛ</t>
  </si>
  <si>
    <t>Έγκριση 3ης παράτασης συνολικής προθεσµίας περαίωσης εργασιών του έργου: ¨∆ιαµόρφωση πλατείας και πεζοδρόµου οδού Καβάφη¨.</t>
  </si>
  <si>
    <t>ΒΕΑΗΩ10-ΑΩΩ</t>
  </si>
  <si>
    <t>Έγκριση 3ης παράτασης προθεσµίας περαίωσης εργασιών του έργου: ¨Συντηρήσεις οδικού δικτύου ∆ήµου Σερρών για το έτος2012¨.</t>
  </si>
  <si>
    <t>ΒΕΑΗΩ10-20Ρ</t>
  </si>
  <si>
    <t>Έγκριση 2ης παράτασης προθεσµίας περαίωσης του έργου: ¨Αρδευτικά έργα Κοινότητας Άνω Βροντούς¨.</t>
  </si>
  <si>
    <t>ΒΕΑΗΩ10-8ΙΝ</t>
  </si>
  <si>
    <t>Έγκριση παράτασης προθεσµίας περαίωσης των εργασιών του έργου: ¨Αναβάθµιση υποδοµών αυτοκινητοδροµίου και πάρκου κυκλοφοριακής αγωγής ∆ήµου Σερρών¨.</t>
  </si>
  <si>
    <t>ΒΕΑΗΩ10-ΩΒ8</t>
  </si>
  <si>
    <t>Έγκριση παράτασης προθεσµίας των εργασιών του έργου: ¨Αποπεράτωση κλειστού γυµναστηρίου Αγ. Ιωάννη¨.</t>
  </si>
  <si>
    <t>ΒΕΑΘΩ10-ΧΥΑ</t>
  </si>
  <si>
    <t>Έγκριση προϋπολογιστικού πίνακα και τεχνικής περιγραφής των εργασιών: ¨Καθαρισµός– Συντήρηση υδροµαστεύσεων Άνω Βροντούς».</t>
  </si>
  <si>
    <t>ΒΕΑΘΩ10-9ΚΖ</t>
  </si>
  <si>
    <t>Έγκριση πρωτοκόλλου προσωρινής και οριστικής παραλαβής του έργου: «Αποχέτευση στο Τ.∆. Πεπονιάς» του ∆ήµου Σερρών.</t>
  </si>
  <si>
    <t>ΒΕΑΗΩ10-ΙΨΓ</t>
  </si>
  <si>
    <t>Έγκριση καταβολής στην ∆Ε∆∆ΗΕ ποσού 6.183,31 € για την επαύξηση ισχύος του 15ου ∆ηµοτικού Σχολείου από35 W (No 3) σε55 KW (No 4) της παροχής του.</t>
  </si>
  <si>
    <t>Τµήµατος Η/Μ Έργων και Ενεργειακών Εφαρµογών</t>
  </si>
  <si>
    <t>ΒΕΥΥΩ10-ΞΒΔ</t>
  </si>
  <si>
    <t>Σχετικα με προσληψη ενος (1) Επιστημονικου Συνεργατη, Δικηγορου, στο Δημο Σερρων.</t>
  </si>
  <si>
    <t>Αμαξοπουλος Ηλιας</t>
  </si>
  <si>
    <t>ΒΕΑΗΩ10-ΨΤΚ</t>
  </si>
  <si>
    <t>∆ιαγραφή χρεών από τους χρηµατικούς καταλόγους του ∆ήµου µας αλλοδαπών που στερούνται ΑΦΜ.</t>
  </si>
  <si>
    <t>ΒΕΑΦΩ10-ΛΚΥ</t>
  </si>
  <si>
    <t>Έγκριση µετακίνησης εκτός έδρας του ∆ηµάρχου Σερρών, κατά τον µήνα Mάρτιο 2013.</t>
  </si>
  <si>
    <t>ΒΕΑΥΩ10-Ω1Δ</t>
  </si>
  <si>
    <t>Έγκριση υποβολής προτάσεων στο Χρηµατοδοτικό Πρόγραµµα«Ολοκλήρωση Πολεοδοµικού Σχεδιασµού» του Πράσινου Ταµείου του Υπουργείου Περιβάλλοντος, Ενέργειας και Κλιµατικής Αλλαγής</t>
  </si>
  <si>
    <t>ΒΕ5ΩΩ10-9ΩΨ</t>
  </si>
  <si>
    <t>Επιλογή και διορισµός δύο ελεγκτών για τον τακτικό διαχειριστικό έλεγχο έτους 2012, στη ∆ηµοτική Κοινωφελή Επιχείρηση του ∆ήµου Σερρών ∆Η.ΠΕ.ΘΕ.</t>
  </si>
  <si>
    <t>∆ηµαρχος Σερρών</t>
  </si>
  <si>
    <t>ΒΕΑ5Ω10-3ΦΘ</t>
  </si>
  <si>
    <t>Έγκριση υποβολής πρότασης στο Χρηµατοδοτικό Πρόγραµµα«Απόκτηση και διαµόρφωση ελεύθερων Κοινόχρηστων Χώρων και ∆ιατηρητέων Κτιρίων στις πόλεις, 2013» του Πράσινου Ταµείου του Υπουργείου Περιβάλλοντος, Ενέργειας και Κλιµατικής Αλλαγής.</t>
  </si>
  <si>
    <t>ΒΕΑ8Ω10-ΙΛ8</t>
  </si>
  <si>
    <t>Έγκριση υποβολής προτάσεων στο Χρηµατοδοτικό Πρόγραµµα «Αστική Αναζωογόνηση 2012-2015» του Πράσινου Ταµείου του Υπουργείου Περιβάλλοντος, Ενέργειας και Κλιµατικής Αλλαγής.</t>
  </si>
  <si>
    <t>Τµήµατος Περιβάλλοντος</t>
  </si>
  <si>
    <t>ΒΕΝΕΩ10-Γ59</t>
  </si>
  <si>
    <t>Έγκριση υλοποίησης της πράξης: «Εγκατάσταση σταθµού Συµπαραγωγής Ηλεκτρισµού και Θερµότητας Υψηλής Αποδοτικότητας (ΣΗΘΥΑ) σε συνδυασµό µε συστήµατα Ψύξης µε χρήση φυσικού αερίου στο Γενικό Νοσοκοµείο Σερρών» που χρηµατοδοτείται από το Επιχειρησιακό Πρόγραµµα «ΠΕΡΙΒΑΛΛΟΝ ΚΑΙ ΑΕΙΦΟΡΟΣ ΑΝΑΠΤΥΞΗ» και τροποποίηση της προγραµµατικής σύµβασης µε το Γενικό Νοσοκοµείο Σερρών</t>
  </si>
  <si>
    <t>ΒΕ56Ω10-9ΨΒ</t>
  </si>
  <si>
    <t>Έγκριση υλοποίησης του Υποέργου 3 µε τίτλο «Συνδέσεις µε δίκτυα ∆Ε∆∆ΗΕ» της Πράξης : «Αποχέτευση λυµάτων οικισµού Χριστός και ολοκλήρωση εξωτερικού αγωγού λυµάτων ∆ήµου Λευκώνα».</t>
  </si>
  <si>
    <t>ΒΕΑ8Ω10-ΡΕ9</t>
  </si>
  <si>
    <t>Συγκρότηση τριµελούς επιτροπής έτους 2013 για την παραλαβή της «Προµήθειας εξοπλισµού στο πλαίσιο του έργουEASY TRIP», κατά το άρθρο 28 του ΕΚΠΟΤΑ.</t>
  </si>
  <si>
    <t>ΒΛ9ΚΩ10-ΙΑΘ</t>
  </si>
  <si>
    <t>Έγκριση διενέργειας προµήθειας λαµπτήρων και ηλεκτρολογικού υλικού, έτους 2013.</t>
  </si>
  <si>
    <t>ΒΕΙΨΩ10-2ΘΙ</t>
  </si>
  <si>
    <t>Εγκριση εκμισθωσης δια δημοπρασιας σχολικου κληρου Δημοτικης Κοινοτητας Σερρων, στον συνοικισμο Κρινο.</t>
  </si>
  <si>
    <t>Τμ. Προσοδων και Δημ.Περιουσιας</t>
  </si>
  <si>
    <t>ΒΕΑ5Ω10-ΘΦΙ</t>
  </si>
  <si>
    <t>Έγκριση διενέργειας προµήθειας τοπογραφικού εξοπλισµού ∆ήµου Σερρών, έτους2013.</t>
  </si>
  <si>
    <t>ΒΕ5ΟΩ10-ΡΓΜ</t>
  </si>
  <si>
    <t>Έγκριση διενέργειας προµήθειας εξοπλισµού στο πλαίσιο του έργου «EASY TRIP», έτους2013.</t>
  </si>
  <si>
    <t>ΒΕΑ8Ω10-ΕΘΟ</t>
  </si>
  <si>
    <t>Έγκριση διενέργειας προµήθειας τριακοσίων (300) κουτιών του σκευάσµατος Zylapoyr tabs 300 mg, έτους2013.</t>
  </si>
  <si>
    <t>ΒΕ5ΟΩ10-ΜΒΛ</t>
  </si>
  <si>
    <t>Έγκριση διενέργειας προµήθειας φαρµάκων για το Κυνοκοµείο του ∆ήµου µας, έτους2013.</t>
  </si>
  <si>
    <t>ΒΕΑ8Ω10-Υ58</t>
  </si>
  <si>
    <t>Έγκριση διενέργειας προµηθειών, υπηρεσιών, εργασιών για τις ανάγκες των υπηρεσιών του ∆ήµου Σερρών, έτους 2013.</t>
  </si>
  <si>
    <t>ΒΕ5ΟΩ10-8Ω4</t>
  </si>
  <si>
    <t>Έγκριση διενέργειας προµήθειας ειδών για την επισκευή απροβλέπτων βλαβών των πληροφοριακών συστηµάτων του ∆ήµου µας.</t>
  </si>
  <si>
    <t>Τµήµατος Μηχανογράφησης Τεχνολογιών Πληροφορικής και Επικοινωνιών</t>
  </si>
  <si>
    <t>ΒΕΑ8Ω10-38Ω</t>
  </si>
  <si>
    <t>Έγκριση διενέργειας προµηθειών για τη « Λειτουργία του Κέντρου Συµβουλευτικής Υποστήριξης γυναικών θυµάτων βίας στο ∆ήµο Σερρών» στο πλαίσιο της Πράξης «Ανάπτυξη ∆οµών και Υπηρεσιών της Τοπικής Αυτοδιοίκησης προς όφελος των γυναικών και για την καταπολέµηση της βίας– ∆ηµιουργία Κέντρων Συµβουλευτικής Υποστήριξης Γυναικών θυµάτων βίας σε τοπικό επίπεδο στον Άξονα Προτεραιότητας 08» του Επιχειρησιακού Προγράµµατος«∆ιοικητική Μεταρρύθµιση2007-2013».</t>
  </si>
  <si>
    <t>ΒΕ5ΟΩ10-ΡΧΖ</t>
  </si>
  <si>
    <t>Έγκριση διενέργειας προµήθειας ανταλλακτικών για την επισκευή του επιβατικού αυτοκινήτου της ∆ηµοτικής Αστυνοµίας του ∆ήµου µας.</t>
  </si>
  <si>
    <t>ΒΕ5ΩΩ10-0ΨΥ</t>
  </si>
  <si>
    <t>Αναµόρφωση πιστώσεων εγκεκριµένου προϋπολογισµού οικ. έτους2013 για την αποδοχή χρηµατοδότησης του έργου «Κατασκευή Βρεφονηπιακού Σταθµού Σκουτάρεως» από το Πρόγραµµα ΘΗΣΕΑΣ.</t>
  </si>
  <si>
    <t>ΒΕΑ8Ω10-ΜΣΗ</t>
  </si>
  <si>
    <t>Αναµόρφωση πιστώσεων εγκεκριµένου προϋπολογισµού οικ. έτους 2013 για την ενίσχυση των κωδικών αριθµών που αφορούν τις οφειλές παρελθόντων οικονοµικών ετών και τις υπηρεσίες οργάνωσης και διαχείρισης της λειτουργίας του ΧΥΤΑ και του αποκαταστηµένου Χ∆Α ∆. Σερρών.</t>
  </si>
  <si>
    <t>Τµ. Λογιστηρίου</t>
  </si>
  <si>
    <t>ΒΕΙΨΩ10-ΩΝΦ</t>
  </si>
  <si>
    <t>Εγκριση εκμισθωσης δια δημοπρασιας σχολικου κληρου Τοπικης Κοινοτητας Κατω Καμηλας.</t>
  </si>
  <si>
    <t>Τμημα Προσοδων και Δημ. Περιουσιας</t>
  </si>
  <si>
    <t>ΒΕΑΜΩ10-035</t>
  </si>
  <si>
    <t>Έγκριση αναµόρφωσης προϋπολογισµού του ∆ήµου Σερρών µε την ψήφιση των απαιτούµενων πιστώσεων συγχρηµατοδοτούµενων έργων για το έτος2013.</t>
  </si>
  <si>
    <t>ΒΕΑΖΩ10-ΖΞΞ</t>
  </si>
  <si>
    <t>Ψήφιση πίστωσης και έκδοση σχετικών ενταλµάτων για τους Σχολικούς Αγρούς.</t>
  </si>
  <si>
    <t>κ. Μερετούδη ∆ηµητρίου</t>
  </si>
  <si>
    <t>Ενιαίας Σχολικής Επιτροπής Πρωτοβάθµιας Εκπαίδευσης</t>
  </si>
  <si>
    <t>ΒΕΝ8Ω10-ΔΘΛ</t>
  </si>
  <si>
    <t>Έγκριση χορήγησης αδειών υπαίθριου πλανόδιου και στάσιµου εµπορίου.</t>
  </si>
  <si>
    <t>Τµ. Αγροτικής&amp; Κτηνοτροφικής Παραγωγής&amp; Αλιείας</t>
  </si>
  <si>
    <t>ΒΕ54Ω10-ΠΒΧ</t>
  </si>
  <si>
    <t>Έγκριση καλλιέργειας των συστάδων(∆.Τ.) 9α, 9β, 9γ, 9δ, 10α, 11β, 12α και 12β του ∆ηµοτικού ∆άσους Μαρµαρά Σερρών και εκµίσθωσης του δικαιώµατος εκµετάλλευσης για το διαχειριστικό έτος2013.</t>
  </si>
  <si>
    <t>Τµ. Πρασίνου</t>
  </si>
  <si>
    <t>ΒΕ5ΟΩ10-3ΨΡ</t>
  </si>
  <si>
    <t>Έγκριση δωρεάν παραχώρησης κατά χρήση δηµοτικού ακινήτου στο σύλλογο «ΦΩΣ &amp; ΖΩΗ», για τοποθέτηση λυόµενου-προκατασκευασµένου παρεκκλησίου.</t>
  </si>
  <si>
    <t>Τµήµατος ∆ιαχείρισης Ακίνητης Περιουσίας</t>
  </si>
  <si>
    <t>ΒΕΝΔΩ10-ΗΦΗ</t>
  </si>
  <si>
    <t>Λήψη κατ’ αρχήν απόφασης για τοποθέτηση προτοµής του ήρωα του Μακεδονικού Αγώνα Παύλου Μελά στο νέο πάρκο επί της διασταυρώσεων των οδών 29ης Ιουνίου και Παύλου Μελά.</t>
  </si>
  <si>
    <t>∆ηµοτικής Παράταξης«ΕΠΟΧΗ ∆ΗΜΙΟΥΡΓΙΑΣ– Θεόδωρος Μηλίδης»</t>
  </si>
  <si>
    <t>ΒΕ5ΠΩ10-ΞΦΧ</t>
  </si>
  <si>
    <t>Έγκριση επαναδηµοπράτησης της παροχής υπηρεσιών µε τίτλο: «Οργάνωση, ∆ιαχείριση και Συντήρηση χώρων πρασίνου της ∆ηµοτικής Ενότητας Σκουτάρεως του ∆ήµου Σερρών».</t>
  </si>
  <si>
    <t>ΒΕ5ΟΩ10-ΙΙ7</t>
  </si>
  <si>
    <t>Έγκριση µελέτης του έργου: ¨Ασφαλτοστρώσεις ∆ηµοτικής Ενότητας Λευκώνα¨, πρ/σµού 37.355,66 €.</t>
  </si>
  <si>
    <t>ΒΕ5ΟΩ10-Μ9Λ</t>
  </si>
  <si>
    <t>Έγκριση µελέτης του έργου: ¨∆ιαµόρφωση χώρου κεντρικής πλατείας και πλατείας Αναγνωστοπούλου Τ.Κ. Προβατά¨, πρ/σµού 16.000,00 €.</t>
  </si>
  <si>
    <t>ΒΕ54Ω10-Θ8Κ</t>
  </si>
  <si>
    <t>Έγκριση µελέτης του έργου: ¨Ασφαλτοστρώσεις ∆ηµοτικής Ενότητας Σκουτάρεως¨, πρ/σµού 24.000,00 €</t>
  </si>
  <si>
    <t>ΒΕΙΛΩ10-ΤΕ7</t>
  </si>
  <si>
    <t>Εγκριση πρωτοκολλου προσωρινης και οριστικης παραλαβης του εργου:"Διανοιξεις δρομων στην περιοχη της πραξης εφαρμογης Σιγης ετους 2009".</t>
  </si>
  <si>
    <t>ΒΕΑΖΩ10-ΚΚ6</t>
  </si>
  <si>
    <t>Έγκριση µελέτης του έργου: ¨Ασφαλτοστρώσεις ∆ηµοτικής Ενότητας Μητρουσίου¨, πρ/σµού 21.821,33 €.</t>
  </si>
  <si>
    <t>ΒΕ5ΟΩ10-Ρ9Χ</t>
  </si>
  <si>
    <t>Έγκριση µελέτης του έργου: ¨Συντήρηση δηµοτικού κτηρίου στην Τ.Κ. Ορεινής¨, πρ/σµού 10.500,00 €.</t>
  </si>
  <si>
    <t>ΒΕΝ5Ω10-Μ13</t>
  </si>
  <si>
    <t>Έγκριση συνέχισης της µελέτης «Μεταγραφή της κυρωµένης πράξης εφαρµογής Αληµπέκιοι της πόλεως Σερρών στο Εθνικό Κτηµατολόγιο» για το έτος 2013 και παράτασης της προθεσµίας υποβολής της.</t>
  </si>
  <si>
    <t>Τµ. Υπηρεσίας ∆όµησης</t>
  </si>
  <si>
    <t>ΒΕΝΜΩ10-10Α</t>
  </si>
  <si>
    <t>Έγκριση µελετών της πράξης: ¨Sports for all¨.</t>
  </si>
  <si>
    <t>ΒΕ54Ω10-ΦΟΕ</t>
  </si>
  <si>
    <t>Έγκριση 1ου Ανακεφαλαιωτικού Πίνακα του έργου: « Αποκατάσταση πηγών Μπατανίων, Μοραµορ στο Τ.∆. Λευκώνα και αντικατάσταση εξωτερικού αγωγού ύδρευσης(µεταφοράς) από τις πηγές ως το βόρειο τµήµα του Τ.∆. Λευκώνα».</t>
  </si>
  <si>
    <t>ΒΕ54Ω10-Ψ4Ρ</t>
  </si>
  <si>
    <t>Έγκριση 1ου Ανακεφαλαιωτικού Πίνακα του έργου: « ∆ιανοίξεις ασφαλτοστρώσεις οδών στην περιοχή Οµόνοια- Καλύβια».</t>
  </si>
  <si>
    <t>ΒΕ56Ω10-ΗΥ0</t>
  </si>
  <si>
    <t>Έγκριση 1ου Ανακεφαλαιωτικού Πίνακα του έργου: « Πεζοδρόµηση τµήµατος οδού Μεραρχίας».</t>
  </si>
  <si>
    <t>ΒΕ5ΠΩ10-Ξ68</t>
  </si>
  <si>
    <t>Έγκριση 1ου Ανακεφαλαιωτικού Πίνακα του έργου ¨Τσιµεντοστρώσεις δρόµων Τοπικής Κοινότητας Ορεινής¨.</t>
  </si>
  <si>
    <t>ΒΕΑ8Ω10-ΠΔΣ</t>
  </si>
  <si>
    <t>Έγκριση Προϋπολογιστικού Πίνακα και Τεχνικής Περιγραφής του έργου: ¨Συντήρηση - επισκευή εξωτερικών µονώσεων στο αυτοκινητοδρόµιο Σερρών¨.</t>
  </si>
  <si>
    <t>∆.Τ.Υ</t>
  </si>
  <si>
    <t>ΒΕΑ8Ω10-ΖΧΤ</t>
  </si>
  <si>
    <t>Έγκριση Προϋπολογιστικού Πίνακα και Τεχνικής Περιγραφής του έργου: ¨Ασφαλτόστρωση Τοπικής Κοινότητας Αναγέννησης¨.</t>
  </si>
  <si>
    <t>ΒΕΙΛΩ10-ΤΗ9</t>
  </si>
  <si>
    <t>Εγκριση πρωτοκολλου προσωρινης και οριστικης παραλαβης του εργου:"Αποχετευση στο Τ.Δ. Κωνσταντινατου".</t>
  </si>
  <si>
    <t>ΒΕΑ8Ω10-ΝΚΔ</t>
  </si>
  <si>
    <t>Έγκριση Προϋπολογιστικού Πίνακα και Τεχνικής Περιγραφής του έργου: ¨Κατασκευή δεξαµενής για ρίψη Σταυρού Τοπ. Κοινότητας Αναγέννησης¨.</t>
  </si>
  <si>
    <t>ΒΕΧΒΩ10-ΣΣ3</t>
  </si>
  <si>
    <t>Έγκριση συνέχισης του προϋπολογιστικού πίνακα µε τίτλο: ¨∆ιαµόρφωση κεντρικής πλατείας Άνω Καµήλας¨.</t>
  </si>
  <si>
    <t>ΒΕΑ8Ω10-ΥΞ2</t>
  </si>
  <si>
    <t>Έγκριση 2ης παράτασης προθεσµίας του έργου: ¨Πεζοδρόµηση τµήµατος οδού Μεραρχίας¨.</t>
  </si>
  <si>
    <t>ΒΕΑ8Ω10-Ν9Ε</t>
  </si>
  <si>
    <t>Έγκριση πρωτοκόλλου προσωρινής και οριστικής παραλαβής του έργου: ¨∆ιαµόρφωση αποδυτηρίων στο γήπεδο Τ.∆. Πεπονιάς¨.</t>
  </si>
  <si>
    <t>ΒΕΝΦΩ10-ΒΩΕ</t>
  </si>
  <si>
    <t>Έγκριση επιστροφής ποσού 59,84 € στoν κ. Σοχόµβαλη Άγγελο, από αποκατάσταση οδοστρώµατος.</t>
  </si>
  <si>
    <t>ΒΕΝΦΩ10-Θ4Η</t>
  </si>
  <si>
    <t>Έγκριση επιστροφής ποσού 110,00 € στην κα Λιθαρή Ελένη, από αποκατάσταση οδοστρώµατος, ως αχρεωστήτως εισπραχθέντος.</t>
  </si>
  <si>
    <t>ΒΕΑΜΩ10-2Σ1</t>
  </si>
  <si>
    <t>Έγκριση επιστροφής ποσού ως αχρεωστήτως καταβληθέντος, καταβολή δικαστικής δαπάνης στην κα Τουφεκτσή Ευαγγελία και διαγραφή χρηµατικού καταλόγου του ∆ήµου µας.</t>
  </si>
  <si>
    <t>ΒΕΑ5Ω10-ΧΔ1</t>
  </si>
  <si>
    <t>Επιστροφή χρηµάτων ως αχρεωστήτως εισπραχθέντα στην κα Πεζιρκιανίδου Περσεφόνη του Θεοδώρου, που αφορά τέλος για καθαρισµό οικοπέδου στον πρώην ∆ήµο Λευκώνα.</t>
  </si>
  <si>
    <t>ΒΕΑ5Ω10-ΔΑΙ</t>
  </si>
  <si>
    <t>Επιστροφή χρηµάτων ως αχρεωστήτως εισπραχθέντα στον κ. ΦΑΚΗ Βασίλειο του Νικολάου, που αφορά παράβαση ΚΟΚ.</t>
  </si>
  <si>
    <t>ΒΕΙΛΩ10-22Μ</t>
  </si>
  <si>
    <t>Εγκριση πρωτοκολλου προσωρινης και οριστικης παραλαβης του εργου:"Αποχετευση στο Τ.Δ. Κατω Καμηλας".</t>
  </si>
  <si>
    <t>ΒΕΑ5Ω10-ΣΟΘ</t>
  </si>
  <si>
    <t>Επιστροφή χρηµάτων ως αχρεωστήτως εισπραχθέντα στον κ. Καµελίδη Ιωάννη του Αλεξάνδρου, που αφορά τέλος αποχέτευσης Λευκώνα.</t>
  </si>
  <si>
    <t>ΒΕΑ5Ω10-Υ19</t>
  </si>
  <si>
    <t>Επιστροφή χρηµάτων ως αχρεωστήτως εισπραχθέντα στον κ. Κουρουζίδη Αβραάµ του Στυλιανού, από εξόφληση οφειλών του µετά από ρύθµιση.</t>
  </si>
  <si>
    <t>ΒΕΑ5Ω10-1Χ2</t>
  </si>
  <si>
    <t>Επιστροφή χρηµάτων ως αχρεωστήτως εισπραχθέντα στον κ. Σιώτη Βασίλειο του Γεωργίου, που αφορά τέλος για τοµή ασφάλτου</t>
  </si>
  <si>
    <t>ΒΕΑΜΩ10-ΔΧΥ</t>
  </si>
  <si>
    <t>Επιστροφή χρηµάτων ως αχρεωστήτως εισπραχθέντα στον κ. Μπουρβάνη Παντελή του Ευαγγέλου, που αφορά τέλος ύδρευσης στην Ορεινή.</t>
  </si>
  <si>
    <t>ΒΕΑΜΩ10-Κ9Α</t>
  </si>
  <si>
    <t>Επιστροφή χρηµάτων ως αχρεωστήτως εισπραχθέντα στον κ. XING WANG ZHUNG τουZHAOGUI, που αφορά άδεια χρήσης κοινοχρήστου χώρου για το 2013</t>
  </si>
  <si>
    <t>ΒΕΖΑΩ10-ΡΛΣ</t>
  </si>
  <si>
    <t>∆ιαγραφή χρεών δηµοτών µας από τους χρηµατικούς βεβαιωτικούς καταλόγους του ∆ήµου µας</t>
  </si>
  <si>
    <t>ΒΕ56Ω10-ΥΣΝ</t>
  </si>
  <si>
    <t>Έγκριση καταβολής αποζηµίωσης στην Παπαγιαννάκη Ευαγγελία του Θεοδώρου, πρώην ∆ηµοτικής Υπαλλήλου, λόγω συνταξιοδότησης.</t>
  </si>
  <si>
    <t>ΒΕ56Ω10-Ξ0Υ</t>
  </si>
  <si>
    <t>Έγκριση καταβολής αποζηµίωσης στην Γκαλιούρη Μαρία του Ιωάννη, πρώην ∆ηµοτικής Υπαλλήλου, λόγω συνταξιοδότησης.</t>
  </si>
  <si>
    <t>ΒΕΑ5Ω10-ΡΣ6</t>
  </si>
  <si>
    <t>Έγκριση µετακίνησης εκτός έδρας του ∆ηµάρχου Σερρών, κατά τον µήνα Μάρτιο 2013.</t>
  </si>
  <si>
    <t>ΒΕΥΦΩ10-ΘΡΘ</t>
  </si>
  <si>
    <t>Εγκριση μελετης του Εργου "Διαμορφωση περιβαλλοντος χωρου του οικισμου Χιονοχωριου Δημου Σερρων".</t>
  </si>
  <si>
    <t>ΒΕΑ5Ω10-2ΗΧ</t>
  </si>
  <si>
    <t>Έγκριση µετακίνησης εκτός έδρας του ∆ηµάρχου Σερρών, κατά τον µήνα Απρίλιο2013.</t>
  </si>
  <si>
    <t>ΒΕΑΜΩ10-1Ο1</t>
  </si>
  <si>
    <t>Έγκριση καταβολής εξόδων κίνησης εκτός έδρας του κ. ∆ηµάρχου από26-28 Μαρτίου 2013.</t>
  </si>
  <si>
    <t>ΒΕΑΜΩ10-Ο3Μ</t>
  </si>
  <si>
    <t>Έγκριση καταβολής εξόδων κίνησης εκτός έδρας του κ. ∆ηµάρχου από 5-7 Μαρτίου 2013.</t>
  </si>
  <si>
    <t>ΒΕΑ8Ω10-ΩΩ3</t>
  </si>
  <si>
    <t>Έγκριση τροποποίησης της προγραµµατικής σύµβασης για την εφαρµογή προγράµµατος καταπολέµησης κουνουπιών στην περιοχή της Περιφερειακής Ενότητας Σερρών για το έτος 2013.</t>
  </si>
  <si>
    <t>ΒΕΑ5Ω10-ΤΟΨ</t>
  </si>
  <si>
    <t>Έγκριση µελέτης παροχής υπηρεσιών µε τίτλο: «Αποκοµιδή Απορριµµάτων ∆.Ε. Κ. Μητρούση», πρ/σµού 9.040,00 €.</t>
  </si>
  <si>
    <t>ΒΕΝ3Ω10-1ΦΠ</t>
  </si>
  <si>
    <t>Αντικατάσταση τακτικού µέλους της επιτροπής παραλαβής εργασιών και υπηρεσιών έτους2013, η οποία συγκροτήθηκε µε την αρ. 87/2013 Α.∆.Σ. κατά τις διατάξεις των άρθρων67 και70 του Π.∆. 28/80.</t>
  </si>
  <si>
    <t>ΒΕΝ0Ω10-ΡΧΨ</t>
  </si>
  <si>
    <t>Έγκριση Συµµετοχής του ∆ήµου Σερρών στον εορτασµό της Παγκόσµιας Ηµέρας Περιβάλλοντος έτους2013.</t>
  </si>
  <si>
    <t>ΒΕΝΤΩ10-Ι6Υ</t>
  </si>
  <si>
    <t>Έγκριση συµµετοχής εκπροσώπων του ∆ήµου Σερρών στην 1η Συνάντηση(1st Project Meeting) στην περιοχή Konce (FYROM) στο πλαίσιο της πράξης “Προώθηση της πολιτιστικής κληρονοµιάς των Βλάχων στις περιοχές των Σερρών και Konce” (µε ακρωνύµιο Prom-Cult) από το Πρόγραµµα ∆ιασυνοριακής Συνεργασίας IPA “ΕΛΛΑ∆Α– FYROM 2007-2013”.</t>
  </si>
  <si>
    <t>ΒΕΝΗΩ10-ΚΔ2</t>
  </si>
  <si>
    <t>Συγκρότηση ∆ηµοτικής Επιτροπής ∆ιαβούλευσης του ∆ήµου Σερρών.</t>
  </si>
  <si>
    <t>ΒΕΝΕΩ10-ΙΕΞ</t>
  </si>
  <si>
    <t>Πρόσληψη υδρονοµέων άρδευσης ∆ήµου Σερρών</t>
  </si>
  <si>
    <t>Τµ. Προσωπικού</t>
  </si>
  <si>
    <t>ΒΕΙΛΩ10-ΗΨ3</t>
  </si>
  <si>
    <t>Εγκριση 2ης παρατασης προθεσμιας περαιωσης εργασιων του εργου:«Οδοστρωσια πολης Σερρων ετους 2012».</t>
  </si>
  <si>
    <t>ΒΕΝΗΩ10-ΒΥΒ</t>
  </si>
  <si>
    <t>Αποδοχή δωρεάς30.000,00 € από την ∆ΕΥΑΣ για την κοινωνική πολιτική του ∆ήµου Σερρών.</t>
  </si>
  <si>
    <t>Κοινωνικής Μέριµνας και Παιδείας</t>
  </si>
  <si>
    <t>ΒΕΝΗΩ10-3ΨΒ</t>
  </si>
  <si>
    <t>Αποδοχή δωρεάς30.000,00 € από την ∆ΕΥΑΣ στα πλαίσια των εκδηλώσεων των 100 χρόνων από την απελευθέρωση της πόλης των Σερρών</t>
  </si>
  <si>
    <t>ΒΕΝ3Ω10-77Ξ</t>
  </si>
  <si>
    <t>Έγκριση της αρ. 117 / 2013 απόφασης του ∆/κού Συµβουλίου της «Κ.Ε.∆Η.Σ.», περί &lt;Αναµόρφωση προϋπολογισµού της Κ.Ε.∆.Η.Σ., χρήσης 2013&gt;.</t>
  </si>
  <si>
    <t>∆ήµου Ιωάννη</t>
  </si>
  <si>
    <t>Κ.Ε.∆Η.Σ</t>
  </si>
  <si>
    <t>ΒΕΝΥΩ10-ΔΥΙ</t>
  </si>
  <si>
    <t>Έγκριση σχεδίου 2ης σύµβασης ∆ιαδηµοτικής Συνεργασίας για την παροχή υποστήριξης από την ∆.Τ.Υ. του ∆ήµου Σερρών προς την ∆.Τ.Υ. του ∆ήµου Βισαλτίας.</t>
  </si>
  <si>
    <t>ΒΕΝ3Ω10-ΖΦ5</t>
  </si>
  <si>
    <t>γκριση διενέργειας προµηθειών ανταλλακτικών για την επισκευή φωτοτυπικών µηχανηµάτων του ∆ήµου, πινακίδων τοίχου για το ΚΕΠ και σφραγίδων για τις ανάγκες των Υπηρεσιών του ∆ήµου µας.</t>
  </si>
  <si>
    <t>ΒΕΝ3Ω10-ΔΤΝ</t>
  </si>
  <si>
    <t>Έγκριση διενέργειας προµήθειας ειδών τεχνολογιών, πληροφορικής, επικοινωνιών και λογισµού.</t>
  </si>
  <si>
    <t>ΒΕΝ3Ω10-ΘΝΝ</t>
  </si>
  <si>
    <t>Επαναψήφιση πίστωσης για τη σύναψη σύµβασης παροχής κτηνιατρικών υπηρεσιών για τις ανάγκες του Κυνοκοµείου.</t>
  </si>
  <si>
    <t>Τµήµατος Αγροτικής&amp; Κτηνοτροφικής Παραγωγής&amp; Αλιείας</t>
  </si>
  <si>
    <t>ΒΕΝΤΩ10-750</t>
  </si>
  <si>
    <t>Έγκριση πληρωµής αµοιβής της ΑΝ.Ε.ΣΕΡ.Α.Ε. για τη τεχνική υποστήριξη για την υλοποίηση της πράξης ¨Κοινωνικές δοµές αντιµετώπισης της φτώχειας στο ∆ήµο Σερρών¨.</t>
  </si>
  <si>
    <t>Μερετούδη ∆ηµητρίου</t>
  </si>
  <si>
    <t>ΒΕΝΥΩ10-ΞΟΨ</t>
  </si>
  <si>
    <t>Αναµόρφωση πιστώσεων εγκεκριµένου προϋπολογισµού οικ. έτους 2013 για την επιστροφή ποσού 75.173,64 € στο Πρόγραµµα ∆ηµοσίων Επενδύσεων της Κοινοτικής Συµµετοχής της πράξης PROMO SAFE DRIVING.</t>
  </si>
  <si>
    <t>ΒΕΝ0Ω10-ΠΚΒ</t>
  </si>
  <si>
    <t>Αναµόρφωση πιστώσεων εγκεκριµένου προϋπολογισµού οικ. έτους 2013 για την ενίσχυση του Κ.Α. 80.8117.002 που αφορά οφειλές παρελθόντων οικονοµικών ετών.</t>
  </si>
  <si>
    <t>ΒΕΙΞΩ10-36Κ</t>
  </si>
  <si>
    <t>Εγκριση παρατασης προθεσμιας εργασιων του εργου:«Αναπτυξη αρχικης εγκαταστασης(διαμορφωσης χωρου) του Κεντρου Συμβουλευτικοης υποστηριξης γυναικων θυματων βιας του Δημου Σερρων».</t>
  </si>
  <si>
    <t>ΒΕΝΓΩ10-4ΡΔ</t>
  </si>
  <si>
    <t>Αναµόρφωση πιστώσεων εγκεκριµένου προϋπολογισµού οικ. έτους 2013 για την ενίσχυση του Κ.Α. 10.6422.001 που αφορά έξοδα µετακίνησης υπαλλήλων.</t>
  </si>
  <si>
    <t>ΒΕΝΤΩ10-Χ8Β</t>
  </si>
  <si>
    <t>Έγκριση διενέργειας ανοικτού αρχιτεκτονικού διαγωνισµού ιδεών για την «Ανάκτηση– ανάδειξη χώρου διεύρυνσης των οδικών αξόνων ∆. Σολωµού – Μ. Αλεξάνδρου και του ∆ηµοτικού οικοπέδου στο Ο.Π. 210» στο πολεοδοµικό συγκρότηµα του ∆ήµου Σερρών.</t>
  </si>
  <si>
    <t>ΒΕΝΥΩ10-ΚΓΕ</t>
  </si>
  <si>
    <t>Έγκριση µελέτης του έργου: ¨Ολοκλήρωση πάρκου ∆.Κ. Σκουτάρεως¨, πρ/σµού 21.490,65 €.</t>
  </si>
  <si>
    <t>ΒΕΝΓΩ10-Ι00</t>
  </si>
  <si>
    <t>Έγκριση συνέχισης για το έτος2013 του Προϋπολογιστικού Πίνακα και της τεχνικής περιγραφής των εργασιών¨∆ιαµόρφωση ΧΑ∆Α Κωνσταντινάτου¨.</t>
  </si>
  <si>
    <t>ΒΕΝΥΩ10-ΦΡ0</t>
  </si>
  <si>
    <t>Έγκριση έκδοσης άδειας λειτουργίας επιχείρησης προσφοράς υπηρεσιών διαδικτύου, σε «ΙΝΤΕΡΝΕΤ- ΚΑΦΕ» της Μπούµπαρη Ελένης του Γεωργίου.</t>
  </si>
  <si>
    <t>Τµ. Αδειοδοτήσεων&amp; Ρύθµισης Εµπορικών ∆ραστηριοτήτων της ∆.Ε. Σκουτάρεως</t>
  </si>
  <si>
    <t>ΒΕΝΗΩ10-ΡΨΙ</t>
  </si>
  <si>
    <t>Έγκριση εξόδων παράστασης του Προέδρου του Ν.Π.∆.∆.: «Οργανισµός Προσχολικής Αγωγής, Κοινωνικής Πολιτικής και Αθλητισµού».</t>
  </si>
  <si>
    <t>ΒΕΝΓΩ10-ΩΕ9</t>
  </si>
  <si>
    <t>Έγκριση καταβολής αποζηµίωσης στην Φέτκου Αθηνά του Αθανασίου, πρώην ∆ηµοτικής Υπαλλήλου, λόγω συνταξιοδότησης.</t>
  </si>
  <si>
    <t>ΒΕΝΓΩ10-ΓΥΚ</t>
  </si>
  <si>
    <t>Έγκριση καταβολής αποζηµίωσης στoν Λέσιο Πέτρο του Γεωργίου, πρώην ∆ηµοτικού παλλήλου, λόγω συνταξιοδότησης.</t>
  </si>
  <si>
    <t>ΒΕΝ0Ω10-Π7Λ</t>
  </si>
  <si>
    <t>Έγκριση µετακίνησης εκτός έδρας του ∆ηµάρχου Σερρών, κατά τους µήνες Φεβρουάριο, Μάρτιο και Απρίλιο 2013.</t>
  </si>
  <si>
    <t>ΒΕΙΚΩ10-Ξ2Ε</t>
  </si>
  <si>
    <t>Εγκριση 4ης παρατασης προθεσμιας περαιωσης εργασιων του εργου:«Αποχετευση λυματων οικισμου Χριστος και ολοκληρωση εξωτερικου αγωγου λυματων Δημου Λευκωνα».</t>
  </si>
  <si>
    <t>ΒΕΝ0Ω10-8ΑΟ</t>
  </si>
  <si>
    <t>Έγκριση καταβολής εξόδων κίνησης εκτός έδρας του κ. ∆ηµάρχου κατά τους µήνες Φεβρουάριο, Μάρτιο και Απρίλιο 2013.</t>
  </si>
  <si>
    <t>ΒΕΝ0Ω10-ΟΡΑ</t>
  </si>
  <si>
    <t>Έγκριση καταβολής εξόδων κίνησης εκτός έδρας του κ. ∆ηµάρχου κατά τον µήνα Απρίλιο 2013.</t>
  </si>
  <si>
    <t>ΒΕΝ0Ω10-Ο5Υ</t>
  </si>
  <si>
    <t>Έγκριση καταβολής εξόδων κίνησης εκτός έδρας του Αντιδηµάρχου Έργων-Υποδοµών κ. Παύλου Μυστακίδη, από 19-3-2013 έως 22-3-2013 στα πλαίσια του έργου ENCLOSE.</t>
  </si>
  <si>
    <t>ΒΕΝ0Ω10-4ΑΜ</t>
  </si>
  <si>
    <t>Έγκριση καταβολής εξόδων κίνησης εκτός έδρας της υπαλλήλου µας Μίκηκη Φωτεινής, στο Trondheim Νορβηγίας από 19-3-2013 έως 22-3-2013 στα πλαίσια του έργου ENCLOSE.</t>
  </si>
  <si>
    <t>ΒΕΝΓΩ10-ΧΡΝ</t>
  </si>
  <si>
    <t>Έκδοση ψηφίσµατος για τον θάνατο της εν ενεργεία Αντιδηµάρχου Πρασίνου και κατά τόπους Αντιδηµάρχου για τις ∆ηµοτικές Ενότητες Λευκώνα, Ορεινής και Άνω Βροντούς κ. Ραχήλ Αποστολίδου.</t>
  </si>
  <si>
    <t>ΒΕΖΔΩ10-86Ν</t>
  </si>
  <si>
    <t>Ενηµέρωση για τα προβλήµατα του έργου: ¨Αναβάθµιση υποδοµών Αυτοκινητοδροµίου και Πάρκου Κυκλοφοριακής Αγωγής ∆ήµου Σερρών¨.</t>
  </si>
  <si>
    <t>ΒΕΧ4Ω10-Χ6Ο</t>
  </si>
  <si>
    <t>Τροποποίηση χρονοδιαγράµµατος της αριθµ. 721/2008 Α.∆.Σ.</t>
  </si>
  <si>
    <t>Τµ. Κυκλοφοριακού Σχεδιασµού&amp; Συγκοινωνίας</t>
  </si>
  <si>
    <t>ΒΕΝ8Ω10-ΥΣ4</t>
  </si>
  <si>
    <t>Έγκριση διοργάνωσης της 9ης Ανθοκοµικής Έκθεσης Σερρών και ψήφιση σχετικής δαπάνης.</t>
  </si>
  <si>
    <t>ΒΕΝ8Ω10-6ΒΡ</t>
  </si>
  <si>
    <t>Συγκρότηση επιτροπών του άρθρου 28 του ΕΚΠΟΤΑ της ∆/νσης Τεχνικών Υπηρεσιών, έτους2013.</t>
  </si>
  <si>
    <t>ΒΕΖΚΩ10-ΠΞΚ</t>
  </si>
  <si>
    <t>Έγκριση συµµετοχής στην κοινή επίσκεψη µελέτης των « εκπαιδευόµενων» πόλεων (followers) στην έδρα του συντονιστή του έργου « Ενεργειακή Αποδοτικότητα στις αστικές εµπορευµατικές µεταφορές (Energy efficiency in City Logistics ServicesENCLOSE)».</t>
  </si>
  <si>
    <t>ΒΕΙΞΩ10-ΗΚ9</t>
  </si>
  <si>
    <t>Εγκριση 2ης παρατασης προθεσμιας περαιωσης εργασιων του εργου:«Συντηρυσεις οδικου δικτυου Δημου Σερρων για το ετος 2012».</t>
  </si>
  <si>
    <t>ΒΕΖ0Ω10-ΥΜΡ</t>
  </si>
  <si>
    <t>Έγκριση διοργάνωσης εκδήλωσης για την απονοµή των βεβαιώσεων παρακολούθησης στην Σχολή Ασφαλούς Οδήγησης καθώς και έγκριση τελικής συνάντησης εταίρων του έργου“PROMO SAFE DRIVING” (που χρηµατοδοτείται από το Πρόγραµµα Ευρωπαϊκής Εδαφικής Συνεργασίας ΕΛΛΑ∆Α– ΒΟΥΛΓΑΡΙΑ 2007 - 2013).</t>
  </si>
  <si>
    <t>ΒΕΝ8Ω10-5ΥΤ</t>
  </si>
  <si>
    <t>Έγκριση της υπ΄ αριθµ. 57/2013 απόφασης του ∆/κού Συµβουλίου του Ν.Π. «Οργανισµός Προσχολικής Αγωγής Κοινωνικής Πολιτικής και Αθλητισµού ∆ήµου Σερρών», σχετικά µε εγγραφές– διαγραφές των φιλοξενούµενων παιδιών στα τµήµατα των παιδικών σταθµών του ∆ήµου Σερρών, για το έτος2013-2014.</t>
  </si>
  <si>
    <t>κ. Χατζηµαργαρίτη Μαργαρίτη</t>
  </si>
  <si>
    <t>«Οργανισµός Προσχολικής Αγωγής Κοινωνικής Πολιτικής και Αθλητισµού ∆ήµου Σερρών»</t>
  </si>
  <si>
    <t>ΒΕΝ8Ω10-ΜΡΟ</t>
  </si>
  <si>
    <t>Έγκριση της υπ΄ αριθµ. 58/2013 απόφασης του ∆/κού Συµβουλίου του Ν.Π. «Οργανισµός Προσχολικής Αγωγής Κοινωνικής Πολιτικής και Αθλητισµού ∆ήµου Σερρών», σχετικά µε τον καθορισµό οικονοµικής εισφοράς (τροφεία) των φιλοξενούµενων παιδιών στα τµήµατα των παιδικών σταθµών του ∆ήµου Σερρών, για το έτος2013-2014».</t>
  </si>
  <si>
    <t>ΒΕΝ8Ω10-ΛΑΝ</t>
  </si>
  <si>
    <t>Τροποποίηση κατανοµής προϋπολογισµού για την υλοποίηση της πράξης “Προώθηση της πολιτιστικής κληρονοµιάς των Βλάχων στις περιοχές των Σερρών και Konce” (µε ακρωνύµιο Prom-Cult) από το Πρόγραµµα ∆ιασυνοριακής Συνεργασίας IPA “ΕΛΛΑ∆Α– FYROM 2007-2013”.</t>
  </si>
  <si>
    <t>ΒΕΧΟΩ10-Α37</t>
  </si>
  <si>
    <t>Έγκριση επιχορήγησης Σχολικής Επιτροπής Πρωτοβάθµιας Εκπαίδευσης για σύνδεση Φ/Β συστηµάτων.</t>
  </si>
  <si>
    <t>Σχολικής Επιτροπής Πρωτοβάθµιας Εκπαίδευσης</t>
  </si>
  <si>
    <t>ΒΕΧΟΩ10-ΑΡΥ</t>
  </si>
  <si>
    <t>Έγκριση επιχορήγησης Σχολικής Επιτροπής ∆ευτεροβάθµιας Εκπαίδευσης για σύνδεση Φ/Β συστηµάτων.</t>
  </si>
  <si>
    <t>Σχολικής Επιτροπής ∆ευτεροβάθµιας Εκπαίδευσης</t>
  </si>
  <si>
    <t>ΒΕΧ4Ω10-6Χ7</t>
  </si>
  <si>
    <t>Έγκριση διενέργειας προµήθειας ενός (1) κράνους για τον κλητήρα του ∆ήµου µας.</t>
  </si>
  <si>
    <t>ΒΕΧ4Ω10-49Ε</t>
  </si>
  <si>
    <t>Έγκριση διενέργειας προµήθειας προστατευτικών πετασµάτων πλεξιγκλάς για τις ανάγκες εύρυθµης λειτουργίας του ΚΕΠ.</t>
  </si>
  <si>
    <t>ΒΕΧΟΩ10-ΦΕΖ</t>
  </si>
  <si>
    <t>Έγκριση υποβολής πρότασης στο Χρηµατοδοτικό Πρόγραµµα «Αστική Αναζωογόνηση 2012-2015» του Πράσινου Ταµείου του Υπουργείου Περιβάλλοντος, Ενέργειας και Κλιµατικής Αλλαγής στον Άξονα Προτεραιότητας 5.</t>
  </si>
  <si>
    <t>ΒΕΖΕΩ10-Ρ3Α</t>
  </si>
  <si>
    <t>Έγκριση έναρξης της διαδικασίας κύρωσης του δικτύου κοινόχρηστων χώρων σε τµήµα του οικισµού Επταµύλων ∆ήµου Σερρών που στερείται εγκεκριµένου ρυµοτοµικού σχεδίου.</t>
  </si>
  <si>
    <t>ΒΕΙΞΩ10-1ΨΛ</t>
  </si>
  <si>
    <t>Εγκριση παρατασης περαιωσης ενδεικτικων τμηματικων προθεσμιων εργασιων του εργου:«Κατασκευη 12θεσιου Δημοτικου Σχολειου Σερρων (6ο Δημοτικο Σχολειο Σερρων)».</t>
  </si>
  <si>
    <t>ΒΕΖΛΩ10-Χ2Ι</t>
  </si>
  <si>
    <t>Αποδοχή αιτήµατος παραχώρησης οικοπέδων στην Τ.Κ. Καλών ∆ένδρων ∆ήµου Σερρών από την ∆/νση Πολιτικής Γης.</t>
  </si>
  <si>
    <t>ΒΕΖΛΩ10-5ΥΤ</t>
  </si>
  <si>
    <t>Επανεξέταση του θέµατος¨Έγκριση εκποίησης δια δηµοπρασίας δηµοτικού ακινήτου που αποτελεί τµήµα των αρ. 934 και 925 τεµαχίων του αγροκτήµατος Άνω Ορεινής¨, από την εκτιµητική επιτροπή του ∆ήµου.</t>
  </si>
  <si>
    <t>Τµ. ∆ιαχείρισης Ακίνητης Περιουσίας</t>
  </si>
  <si>
    <t>ΒΕΧΟΩ10-6ΦΞ</t>
  </si>
  <si>
    <t>Έγκριση κατανοµής του ποσού των 3.000 € από την χρηµατοδότηση ΣΑΕ 055, ενάριθµος2003ΣΕ05500005 έτους2012, για τη προµήθεια και τοποθέτηση υλικών για τη στεγανοποίηση δύο (2) δεξαµενών κλειστού τύπου.</t>
  </si>
  <si>
    <t>Τµήµατος Πολιτικής Προστασίας</t>
  </si>
  <si>
    <t>ΒΕΧ4Ω10-ΣΓΩ</t>
  </si>
  <si>
    <t>Παύση λειτουργίας του ΧΥΤΑ του ∆ήµου Σερρών.</t>
  </si>
  <si>
    <t>Παυση λειτουργιας του ΧΥΤΑ του Δημου Σερρων.</t>
  </si>
  <si>
    <t>Δ/νση Καθαριοτητας</t>
  </si>
  <si>
    <t>ΒΕΧΟΩ10-Α4Ω</t>
  </si>
  <si>
    <t>Απόρριψη της από18-4-2013 ένστασης κ. Μπόικου Αθανασίου, εκπροσώ-που της δηµοτικής κίνησης ∆ΙΑΒΑΣΗ ΠΕΖΩΝ κατά της135/2013 απόφασης ∆.Σ., όσον αφορά την πολεοδόµηση του χώρου του πρώην στρατοπέδου Εµµ. Παπά και κατά της πολεοδοµικής µελέτης του παραπάνω χώρου.</t>
  </si>
  <si>
    <t>ΒΕΧ4Ω10-Θ9Ψ</t>
  </si>
  <si>
    <t>Έγκριση µελέτης του έργου: ¨∆ιάφορες επισκευές – συντηρήσεις και κατασκευές σε σχολικά κτήρια του ∆ήµου Σερρών¨, πρ/σµού 35.000,00 €.</t>
  </si>
  <si>
    <t>ΒΕΧ4Ω10-0ΤΠ</t>
  </si>
  <si>
    <t>Έγκριση µελέτης του έργου: ¨Κατασκευή ράµπας (ΑΜΕΑ) στο ∆ηµοτικό Σχολείο Άνω Μητρουσίου¨, πρ/σµού 7.500,00 €.</t>
  </si>
  <si>
    <t>ΒΕΧΒΩ10-3ΤΛ</t>
  </si>
  <si>
    <t>Έγκριση µελέτης του έργου: ¨Βελτίωση κάθετης οδικής σήµανσης του ∆ήµου µας, παρεµβάσεις2013¨, πρ/σµού 17.500,00 €.</t>
  </si>
  <si>
    <t>Γρ. συντηρήσεων εγκαταστάσεων οδικής ασφάλειας &amp; φωτεινής σηµατοδότησης</t>
  </si>
  <si>
    <t>ΒΕΧΒΩ10-Σ7Α</t>
  </si>
  <si>
    <t>Έγκριση µελέτης του έργου: ¨Βελτίωση οριζόντιας οδικής σήµανσης του ∆ήµου µας, παρεµβάσεις2013¨, πρ/σµού 17.500,00 €.</t>
  </si>
  <si>
    <t>ΒΕΙΨΩ10-ΗΩΥ</t>
  </si>
  <si>
    <t>Εγκριση μετακινησης εκτος εδρας του Δημαρχου Σερρων, κατα τον μηνα Ιανουαριο 2013</t>
  </si>
  <si>
    <t>Δ/κων Διαδικασιων</t>
  </si>
  <si>
    <t>ΒΕΧ7Ω10-Ρ3Ρ</t>
  </si>
  <si>
    <t>Έγκριση µελέτης του έργου: ¨Κατασκευή περίφραξης δηµοτικής έκτασης της Τ.Κ. Προβατά έτους 2013¨, πρ/σµού 11.177,02 €.</t>
  </si>
  <si>
    <t>ΒΕΧΒΩ10-ΦΞΡ</t>
  </si>
  <si>
    <t>Έγκριση µελέτης του έργου: ¨Εργασίες βελτίωσης δικτύου φωτεινής σηµατοδότησης πλατείας ∆ήµητρας Σερρών¨, πρ/σµού 12.604,70 €.</t>
  </si>
  <si>
    <t>ΒΕΧ7Ω10-018</t>
  </si>
  <si>
    <t>Έγκριση τροποποίησης τεχνικού προγράµµατος 2013 και ψήφιση πίστωσης για το έργο¨Συντηρήσεις δρόµων Τ.Κ. Άνω Βροντούς¨.</t>
  </si>
  <si>
    <t>ΒΕΖΛΩ10-6ΜΗ</t>
  </si>
  <si>
    <t>Έγκριση εκπόνησης της µελέτης µε τίτλο: ¨Σύνταξη περιβαλλοντικών µελετών για την νοµιµοποίηση των αρδευτικών γεωτρήσεων ∆ήµου Σερρών¨.</t>
  </si>
  <si>
    <t>Τµ. Περιβάλλοντος</t>
  </si>
  <si>
    <t>ΒΕΝ8Ω10-7ΨΧ</t>
  </si>
  <si>
    <t>Έγκριση µελέτης της προµήθειας: «Προµήθεια εξοπλισµού για την κατασκευή και την λειτουργία της νέας περιοχής ελεγχόµενης στάθµευσης του ∆ήµου Σερρών».</t>
  </si>
  <si>
    <t>ΒΕΧ4Ω10-3ΒΣ</t>
  </si>
  <si>
    <t>Έγκριση 1ης παράτασης προθεσµίας περαίωσης εργασιών του έργου «Εφαρµογή σχεδίου πόλεως στην περιοχή της Π.Ε. Σιγής έτους 2012».</t>
  </si>
  <si>
    <t>ΒΕΧ4Ω10-ΣΑΑ</t>
  </si>
  <si>
    <t>Έγκριση 3ης παράτασης προθεσµίας του έργου: ¨Πεζοδρόµηση τµήµατος οδού Μεραρχίας¨.</t>
  </si>
  <si>
    <t>ΒΕΧ7Ω10-ΑΤ1</t>
  </si>
  <si>
    <t>∆ιατύπωση γνώµης για την υλοποίηση ιδιωτικού έργου στο πλαίσιο του χρηµατοδοτικού εργαλείου JESSICA της Ευρωπαϊκής Επιτροπής(Ε.Ε.) και της Ευρωπαϊκής Τράπεζας Επενδύσεων(Ε.Τ.Ε.).</t>
  </si>
  <si>
    <t>ΒΕΧΩΩ10-ΒΛ4</t>
  </si>
  <si>
    <t>Έγκριση προϋπολογιστικού πίνακα και τεχνικής περιγραφής των εργασιών: ¨Εργασίες καθαίρεσης ψευδοροφής στο κλειστό γυµναστήριο του ∆ηµοτικού Σχολείου της ∆.Κ. Λευκώνα¨.</t>
  </si>
  <si>
    <t>ΒΕΧΟΩ10-ΔΚ1</t>
  </si>
  <si>
    <t>Έγκριση πρωτοκόλλου προσωρινής και οριστικής παραλαβής του έργου: ¨∆ιάνοιξη και ασφαλτόστρωση οδού Απαµείας της Π.Ε. Σφαγεία – 40 Μάρτυρες¨</t>
  </si>
  <si>
    <t>ΒΕΙΨΩ10-Θ7Σ</t>
  </si>
  <si>
    <t>Εγκριση μετακινησης εκτος εδρας του Δημαρχου Σερρων, κατα τον μηνα Δεκεμβριο 2012.</t>
  </si>
  <si>
    <t>ΒΕΧ4Ω10-1ΝΚ</t>
  </si>
  <si>
    <t>Έγκριση επιστροφής ποσού 20,00 € στο ∆ήµο Ηράκλειας ως αχρεωστήτως εισπραχθέντος.</t>
  </si>
  <si>
    <t>Ταµειακής Υπηρεσίας</t>
  </si>
  <si>
    <t>ΒΕΧΟΩ10-ΦΕΕ</t>
  </si>
  <si>
    <t>Έγκριση έκδοσης άδειας λειτουργίας επιχείρησης προσφοράς υπηρεσιών διαδικτύου, σε «ΚΑΦΕ» του Κουρτίδη Γεωργίου του Αθανασίου.</t>
  </si>
  <si>
    <t>Τµ. Αδειοδοτήσεων &amp; Ρύθµισης Εµπορικών ∆ραστηριοτήτων</t>
  </si>
  <si>
    <t>ΒΕΧΟΩ10-ΔΥΡ</t>
  </si>
  <si>
    <t>Έγκριση έκδοσης άδειας λειτουργίας επιχείρησης προσφοράς υπηρεσιών διαδικτύου, σε «ΚΑΦΕ» του Ριγανά Κων/νου του ∆ηµητρίου.</t>
  </si>
  <si>
    <t>ΒΕΝ8Ω10-ΜΦΕ</t>
  </si>
  <si>
    <t>Έγκριση µετακίνησης εκτός έδρας του ∆ηµάρχου Σερρών, κατά τον µήνα Απρίλιο 2013.</t>
  </si>
  <si>
    <t>ΒΕΝ8Ω10-ΜΜΔ</t>
  </si>
  <si>
    <t>Έγκριση µετακίνησης εκτός έδρας του ∆ηµάρχου Σερρών, κατά τον µήνα Μάιο 2013.</t>
  </si>
  <si>
    <t>ΒΕΝ8Ω10-2ΞΣ</t>
  </si>
  <si>
    <t>Έγκριση µετακίνησης εκτός έδρας του Αντιδηµάρχου κ. Στέργιου Γαλάνη, στην Αθήνα, κατά το µήνα Μάιο 2013.</t>
  </si>
  <si>
    <t>ΒΕΧΟΩ10-Σ2Ο</t>
  </si>
  <si>
    <t>Έγκριση διαγραφής χρέους από χρηµατικό κατάλογο, του κ. Καλαϊτζίδη ∆ηµητρίου, που αφορά ακύρωση εκποίησης τµήµατος του υπ’ αρ. 639 αγροτεµαχίου του αγροκτήµατος Λευκώνα.</t>
  </si>
  <si>
    <t>Τµ. Προσόδων &amp; ∆ηµόσιας Περιουσίας</t>
  </si>
  <si>
    <t>ΒΕΧΟΩ10-4ΟΕ</t>
  </si>
  <si>
    <t>Έκδοση ψηφίσµατος για τον θάνατο του εν ενεργεία ∆ηµοτικού Συµβούλου κ. Τατούδη Παναγιώτη.</t>
  </si>
  <si>
    <t>ΒΕΖΘΩ10-2ΦΔ</t>
  </si>
  <si>
    <t>Έγκριση πραγµατοποίησης εκδηλώσεων για τον εορτασµό της 100ης Επετείου Απελευθέρωσης της πόλης µας στις 29 Ιουνίου 2013 και των δαπανών αυτής.</t>
  </si>
  <si>
    <t>ΒΕΖΧΩ10-ΚΚ4</t>
  </si>
  <si>
    <t>Ορισµός και αντικατάσταση µελών ∆ιοικητικού Συµβουλίου της Ενιαίας Σχολικής Επιτροπής Πρωτοβάθµιας Εκπαίδευσης ∆ήµου Σερρών.</t>
  </si>
  <si>
    <t>κ. Μερετούδη ∆ηµήτριου</t>
  </si>
  <si>
    <t>ΒΕΖΔΩ10-ΠΘΖ</t>
  </si>
  <si>
    <t>Ορισµός και αντικατάσταση µελών ∆ιοικητικού Συµβουλίου της Ενιαίας Σχολικής Επιτροπής ∆ευτεροβάθµιας Εκπαίδευσης ∆ήµου Σερρών.</t>
  </si>
  <si>
    <t>ΒΕΙΨΩ10-9ΓΞ</t>
  </si>
  <si>
    <t>Εγκριση μετακινης εκτος εδρας του Αντιδημαρχου Αναπτυξης και Αγροτικης Οικονομιας κ. Παναγιωτη Γρηγοριαδη, κατα το μηνα Δεκεμβριο 2012.</t>
  </si>
  <si>
    <t>ΒΕΖ8Ω10-7Λ9</t>
  </si>
  <si>
    <t>Αντικατάσταση του τακτικού µέλους του ∆.Σ. του Ο.Π.Α.Κ.Π.Α. ∆ήµου Σερρών, κ. Νεράντζη Βασίλειου.</t>
  </si>
  <si>
    <t>ΟΠΑΚΠΑ</t>
  </si>
  <si>
    <t>ΒΕΖ8Ω10-ΡΤΝ</t>
  </si>
  <si>
    <t>Έγκριση συµµετοχής εκπροσώπων του ∆ήµου Σερρών, στο 18ο Πανελλήνιο Συνέδριο Eκλεγµένων Gυναικών στην Τοπική Αυτοδιοίκηση Α’ και Β’ βαθµού(¨Η ΑΘΗΝΑ¨) : «Γυναίκα, δράση και Αυτοδιοίκηση», που θα πραγµατοποιηθεί στην Άνδρο από τις 13 έως τις 16 Ιουνίου2013.</t>
  </si>
  <si>
    <t>ΒΕΖΘΩ10-ΡΙΩ</t>
  </si>
  <si>
    <t>Έγκριση διοργάνωσης της 1ης εκδήλωσης ενηµέρωσης και της επίσκεψης αποστολών των εταίρων του έργου στην πόλη των Σερρών στο πλαίσιο του έργουENCLOSE.</t>
  </si>
  <si>
    <t>ΒΕΖΙΩ10-Α37</t>
  </si>
  <si>
    <t>Έγκριση δαπάνης για την κάλυψη µέρους των οργανωτικών εξόδων του Πανελληνίου Πρωταθλήµατος Νέων Στίβου</t>
  </si>
  <si>
    <t>ΒΕΖΘΩ10-ΥΞΩ</t>
  </si>
  <si>
    <t>Έγκριση εγγραφής του ∆ήµου ως συνδροµητή στην Τράπεζα Πληροφοριών ¨∆ήµος ΝΕΤ¨ και στη ΝΟΜΙΚΗ ΒΑΣΗ ΠΛΗΡΟΦΟΡΙΩΝ¨ΝΟΜΟΤΕΛΕΙΑ¨.</t>
  </si>
  <si>
    <t>Τµ. Προµηθειών</t>
  </si>
  <si>
    <t>ΒΕΖΘΩ10-ΞΝ5</t>
  </si>
  <si>
    <t>Έγκριση έκθεσης εσόδων - εξόδων Α΄ Τριµήνου 2013 για τον έλεγχο υλοποίησης του προϋπολογισµού του ∆ήµου Σερρών οικονοµικού έτους 2013.</t>
  </si>
  <si>
    <t>ΒΕΖ2Ω10-9ΙΣ</t>
  </si>
  <si>
    <t>Έγκριση ολοκληρωµένου πλαισίου δράσης ∆ήµου Σερρών (χωρίς τα Νοµικά Πρόσωπα) µεταβατικής περιόδου 2013.</t>
  </si>
  <si>
    <t>ΒΕΖΙΩ10-ΝΞΨ</t>
  </si>
  <si>
    <t>Αναµόρφωση πιστώσεων εγκεκριµένου προϋπολογισµού οικ. έτους 2013 και για την απόδοση της κράτησης 0,1% υπέρ της Ενιαίας Ανεξάρτητης Αρχής ∆ηµοσίων Συµβάσεων.</t>
  </si>
  <si>
    <t>ΒΕΙΞΩ10-501</t>
  </si>
  <si>
    <t>Εγκριση αναμορφωσης προυπολογισμου Δημου Σερρων οικονομικου ετους 2013.</t>
  </si>
  <si>
    <t>ΒΕΖΑΩ10-Σ4Ζ</t>
  </si>
  <si>
    <t>Έγκριση εκµίσθωσης δια δηµοπρασίας δύο (2) τµηµάτων του υπ΄ αρ. 2971α αγροτεµαχίου του Αγροκτήµατος Άνω Βροντούς.</t>
  </si>
  <si>
    <t>ΒΕΖ8Ω10-0Ρ2</t>
  </si>
  <si>
    <t>Έγκριση εκµίσθωσης δια δηµοπρασίας του υπ΄ αρ. 26 καταστήµατος του ∆ηµοτικού Μεγάρου.</t>
  </si>
  <si>
    <t>ΒΛ45Ω10-ΡΦ4</t>
  </si>
  <si>
    <t>Έγκριση πρακτικών δηµοπρασίας για την εκµίσθωση οκτώ (8) ακινήτων του κληροδοτήµατος Ι. Αποστολίδη.</t>
  </si>
  <si>
    <t>ΒΕΖΔΩ10-ΚΜΤ</t>
  </si>
  <si>
    <t>Αποδοχή και ταυτόχρονη επιστροφή στο Πρόγραµµα ∆ηµοσίων Επενδύσεων και στο ∆ήµο Petrich της Κοινοτικής Συνδροµής του έργου PROMO SAFE DRIVING που χρηµατοδοτείται από το Πρόγραµµα Ευρωπαϊκής Εδαφικής Συνεργασίας ΕΛΛΑ∆Α ΒΟΥΛΓΑΡΙΑ 2007-2013 (85% Κοινοτική Συµµετοχή, 15% Εθνική Συµµετοχή)</t>
  </si>
  <si>
    <t>ΒΛ49Ω10-20Θ</t>
  </si>
  <si>
    <t>Γνωµοδότηση σχετικά µε χωροθέτηση στάσεων Ταξί, σύµφωνα µε την υπ’ αριθµ. 19/2013 απόφαση Επιτροπής Ποιότητας Ζωής.</t>
  </si>
  <si>
    <t>ΒΛ46Ω10-ΩΚΤ</t>
  </si>
  <si>
    <t>∆ιατύπωση αρνητικής γνώµης σχετικά µε την εκµίσθωση δηµοτικής έκτασης για την εγκατάσταση λατοµείου εκµετάλλευσης αδρανών υλικών σε έκταση εµβαδού 77.040,13 τ.µ. του αγροκτήµατος Βύσσιανης της ∆.Ε. Λευκώνα του ∆ήµου Σερρών της Π.Ε. Σερρών στην ΚΞ Τέρνα Α.Ε. – ΑΕΓΕΚ Κατασκευαστική Α.Ε.</t>
  </si>
  <si>
    <t>ΒΕΖ3Ω10-ΓΔΞ</t>
  </si>
  <si>
    <t>Έγκριση καταβολής αποζηµίωσης λόγω ρυµοτοµίας ιδιοκτησίας κας Κυριακής χας Ευσταθίου Ρίτα, στην περιοχή«Σιγής– Ν. Κηφισιά»</t>
  </si>
  <si>
    <t>ΒΕΖ3Ω10-Σ4Φ</t>
  </si>
  <si>
    <t>Έγκριση καταβολής αποζηµίωσης λόγω ρυµοτοµίας ιδιοκτησίας κ. Στυλιανίδη Μάξιµου του Βασιλείου, στην περιοχή «Σιγής– Ν. Κηφισιά».</t>
  </si>
  <si>
    <t>ΒΕΖ3Ω10-4ΤΣ</t>
  </si>
  <si>
    <t>Έγκριση καταβολής αποζηµίωσης λόγω ρυµοτοµίας ιδιοκτησίας κας Ζαφειριάδου Μαρίας του Γεωργίου, στην περιοχή«Προφήτου Ηλία-Γονατά» και«Σιγής– Ν. Κηφισιά».</t>
  </si>
  <si>
    <t>ΒΕΖ3Ω10-ΟΞ2</t>
  </si>
  <si>
    <t>Έγκριση καταβολής αποζηµίωσης λόγω ρυµοτοµίας ιδιοκτησίας κας Μπαλτζή Αικατερίνης του Στεργίου, στην περιοχή«Άγιοι Ανάργυροι-Νότιο Τµήµα».</t>
  </si>
  <si>
    <t>ΒΕΥΤΩ10-ΓΞΙ</t>
  </si>
  <si>
    <t>Ορισμος και αντικατασταση μελων Δ/κου Συμβουλιου της Ενιαιας Σχολικης Επιτροπης Πρωτοβαθμιας Εκπαιδευσης Δημου Σερρων.</t>
  </si>
  <si>
    <t>Ενιαιας Σχολικης Επιτροπης Πρωτοβαθμιας Εκπαιδευσης</t>
  </si>
  <si>
    <t>ΒΕΖ3Ω10-ΖΧΞ</t>
  </si>
  <si>
    <t>Έγκριση καταβολής αποζηµίωσης λόγω ρυµοτοµίας ιδιοκτησίας κας Μαναρώλια Χαρίκλειας του Θεοδώρου, στην περιοχή «Άγιοι Ανάργυροι-Νότιο Τµήµα».</t>
  </si>
  <si>
    <t>ΒΕΖ3Ω10-ΠΛΝ</t>
  </si>
  <si>
    <t>Έγκριση καταβολής αποζηµίωσης λόγω ρυµοτοµίας ιδιοκτησίας κ.κ. Καλογιάννη Ελένης, Καλογιάννη Αικατερίνης και Σουρµελίδου Ιωάννας, στην περιοχή«40 Μάρτυρες-Σφαγεία».</t>
  </si>
  <si>
    <t>ΒΕΖ3Ω10-ΘΡΥ</t>
  </si>
  <si>
    <t>Ψήφιση πίστωσης για καταβολή αποζηµίωσης λόγω ρυµοτοµίας της ιδιοκτησίας του κ. Γανίτη Βασίλειου.</t>
  </si>
  <si>
    <t>ΒΕΖ3Ω10-ΩΣΛ</t>
  </si>
  <si>
    <t>Έγκριση καταβολής αποζηµίωσης λόγω ρυµοτοµίας ιδιοκτησίας κ.κ.: 1) Καραδήµου Γαβριήλ, Χαράλαµπου και Βασιλικής και δικαστικά έξοδα.</t>
  </si>
  <si>
    <t>ΒΕΖΔΩ10-ΛΔΚ</t>
  </si>
  <si>
    <t>Έγκριση καταβολής αποζηµίωσης λόγω ρυµοτοµίας ιδιοκτησίας κας Σοφίας χας Αβραάµ Ιχτιάρογλου και δικαστικά έξοδα.</t>
  </si>
  <si>
    <t>ΒΕΖ3Ω10-ΥΙΑ</t>
  </si>
  <si>
    <t>Αποδοχή τιµής, ψήφιση πίστωσης και καταβολή αποζηµίωσης λόγω ρυµοτοµίας ιδιοκτησίας κ. Θωµά Λαζούδη και δικαστικά έξοδα.</t>
  </si>
  <si>
    <t>ΒΕΖΣΩ10-ΓΡ2</t>
  </si>
  <si>
    <t>Έγκριση καταβολής αποζηµίωσης επικειµένων λόγω ρυµοτοµίας ιδιοκτησίας κ.κ. Ακσεχερλίδη Ευάγγελου και Ακσεχερλίδου Σουλτάνας, στην περιοχή «Σιγής– Ν. Κηφισιάς».</t>
  </si>
  <si>
    <t>ΒΕΖΘΩ10-Χ0Ω</t>
  </si>
  <si>
    <t>Έγκριση υλοποίησης του Υποέργου 2 µε τίτλο «∆απάνες ∆Ε∆∆ΗΕ» της Πράξης: «Αναπλάσεις κοινόχρηστων χώρων στον οικισµό Χιονοχωρίου ∆ήµου Σερρών».</t>
  </si>
  <si>
    <t>ΒΕΖΘΩ10-ΓΚΦ</t>
  </si>
  <si>
    <t>Έγκριση πρωτοκόλλου προσωρινής και οριστικής παραλαβής του έργου: ¨∆ιάφορες αποκαταστάσεις και συµπληρώσεις υφισταµένων εγκαταστάσεων αθλητικού κέντρου Οµόνοιας¨.</t>
  </si>
  <si>
    <t>ΒΕΥΤΩ10-ΧΤΓ</t>
  </si>
  <si>
    <t>Ορισμος και αντικατασταση μελων Δ/κου Συμβουλιου της Ενιαιας Σχολικης Επιτροπης Δευτεροβαθμιας Εκπαιδευσης Δημου Σερρων.</t>
  </si>
  <si>
    <t>Ενιαιας Σχολικης Επιτροπης Δευτεροβαθμιας Εκπαιδευσης</t>
  </si>
  <si>
    <t>ΒΕΖΘΩ10-ΖΗΕ</t>
  </si>
  <si>
    <t>Έγκριση παράτασης εργασιών του έργου«Εφαρµογή σχεδίου πόλεως στην περιοχή της Πράξης Εφαρµογής Εργατικών Κατοικιών».</t>
  </si>
  <si>
    <t>ΒΕΖΙΩ10-ΧΞ9</t>
  </si>
  <si>
    <t>Έγκριση µετακίνησης εκτός έδρας του ∆ηµάρχου Σερρών, κατά τον µήνα Ιούνιο 2013.</t>
  </si>
  <si>
    <t>ΒΛ46Ω10-5ΔΩ</t>
  </si>
  <si>
    <t>Έγκριση µετακίνησης εκτός έδρας του Αντιδηµάρχου Aνάπτυξης-Αγροτικής Οικονοµίας και Τουρισµού κ. Παναγιώτη Γρηγοριάδη, κατά το µήνα Ιούνιο 2013.</t>
  </si>
  <si>
    <t>ΒΕΖ2Ω10-745</t>
  </si>
  <si>
    <t>Έγκριση πραγµατοποίησης εκδήλωσης για τα εγκαίνια του Κέντρου Συµβουλευτικής Υποστήριξης γυναικών θυµάτων βίας του ∆ήµου Σερρών.</t>
  </si>
  <si>
    <t>ΒΛ41Ω10-ΜΕΜ</t>
  </si>
  <si>
    <t>Συγκρότηση τριµελών επιτροπών παραλαβής προµήθειας τοπογραφικού εξοπλισµού, ψυχρής ασφάλτου και οικοδοµικών υλικών έργων αυτεπιστασίας ∆ήµου Σερρών, σύµφωνα µε τις διατάξεις του άρθρου28 του ΕΚΠΟΤΑ.</t>
  </si>
  <si>
    <t>ΒΕΥΣΩ10-6ΨΠ</t>
  </si>
  <si>
    <t>Αντικατασταση μελους του Διοικητικου Συμβουλιου της «ΟΑΣΙΣ».</t>
  </si>
  <si>
    <t>ΒΛ4ΨΩ10-2Α5</t>
  </si>
  <si>
    <t>Έγκριση συµµετοχής εκπροσώπων του ∆ήµου Σερρών στην 4η Τεχνική Συνάντηση στο ∆ήµο Θέρµης της, στις 5 Ιουλίου2013 στο πλαίσιο του έργου “EASY TRIP : GR-BG E-MOBILITY SOLUTIONS” (Ευρωπαϊκή Εδαφική Συνεργασία«ΕΛΛΑ∆Α-ΒΟΥΛΑΡΙΑ2007-2013»).</t>
  </si>
  <si>
    <t>ΒΛ45Ω10-ΣΧΨ</t>
  </si>
  <si>
    <t>Έγκριση Κανονισµού Λειτουργίας του Κοινωνικού Φαρµακείου του ∆ήµου Σερρών</t>
  </si>
  <si>
    <t>ΒΛ41Ω10-ΦΘΠ</t>
  </si>
  <si>
    <t>Έγκριση της υπ’ αρ. 1/2013 απόφασης του ∆/κού Συµβουλίου της ∆ηµοτικής Ανώνυµης Εταιρείας µε την επωνυµία ∆.Α.Ε.Κ.Α.Σ., περί «Έγκρισης Ισολογισµού χρήσης οικονοµικού έτους 2012».</t>
  </si>
  <si>
    <t>κ. Αρναούτογλου Φωτεινής</t>
  </si>
  <si>
    <t>∆.Α.Ε.Κ.Α.Σ</t>
  </si>
  <si>
    <t>ΒΛ46Ω10-Μ4Υ</t>
  </si>
  <si>
    <t>Ενηµέρωση του ∆.Σ. επί της αριθµ. 2 / 2013 απόφασης του ∆/κού Συµβουλίου της ∆ηµοτικής Ανώνυµης Εταιρείας µε την επωνυµία « ∆.Α.Ε.Κ.Α.Σ.», περί: «Σύγκληση Έκτακτης Γενικής Συνέλευσης» και ορισµός εκπροσώπου του ∆ήµου στην Έκτακτη Γενική Συνέλευση της ∆ΑΕΚΑΣ Α.Ε.</t>
  </si>
  <si>
    <t>κας Φωτεινής Αρναούτογλου</t>
  </si>
  <si>
    <t>ΒΛ4ΙΩ10-Θ7Ι</t>
  </si>
  <si>
    <t>Έγκριση της αρ. 12 / 2013 απόφασης του ∆/κού Συµβουλίου της ∆.Ε. «∆Η.ΠΕ.ΘΕ.», περί&lt;Έγκρισης αναµόρφωσης προϋπολογισµού έτους2013 της ∆Η.Κ.Ε. ∆Η.ΠΕ.ΘΕ. Σερρών&gt;.</t>
  </si>
  <si>
    <t>κας Μπιτζίδου Σοφίας</t>
  </si>
  <si>
    <t>∆Η.ΠΕ.ΘΕ</t>
  </si>
  <si>
    <t>ΒΛ9ΩΩ10-7ΦΕ</t>
  </si>
  <si>
    <t>Έγκριση της υπ΄ αρ. 13/2013 απόφασης του ∆/κού Συµβουλίου της ∆ηµοτικής Κοινωφελούς Επιχείρησης &lt;∆Η.ΠΕ.ΘΕ.&gt;, περί « Έγκριση υποβολής αιτήµατος προς τον ∆ήµο Σερρών για την τροποποίηση του κανονισµού λειτουργίας των &lt;ΑΣΤΕΡΙΩΝ&gt;, της διαδικασίας παραχώρησης των &lt;ΑΣΤΕΡΙΩΝ&gt; και αποδοχή αιτηµάτων για την παραχώρηση των&lt;ΑΣΤΕΡΙΩΝ&gt;».</t>
  </si>
  <si>
    <t>∆Η.ΚΕ. ∆Η.ΠΕ.ΘΕ</t>
  </si>
  <si>
    <t>ΒΛ4ΙΩ10-4ΝΤ</t>
  </si>
  <si>
    <t>Έγκριση της υπ΄ αρ. 29/2013 απόφασης του ∆/κού Συµβουλίου της ∆ηµοτικής Κοινωφελούς Επιχείρησης &lt;∆Η.ΠΕ.ΘΕ.&gt;, περί «Έγκριση Ισολογισµού έτους 2012».</t>
  </si>
  <si>
    <t>∆Η.ΚΕ. ∆Η.ΠΕ.ΘΕ. Σερρών</t>
  </si>
  <si>
    <t>ΒΕΖΖΩ10-ΩΞΠ</t>
  </si>
  <si>
    <t>Ενηµέρωση του ∆.Σ. επί των αριθµ. 5, 6, 7, 8, 9, 10, 11, 14, 15, 16, 17, 18, 19, 20, 21, 22, 23, 24, 25, 26, 27, 28, 30/2013 αποφάσεων του ∆/κού Συµβουλίου της ∆ηµοτικής Κοινωφελούς Επιχείρησης «∆ΗΜΟΤΙΚΟ ΠΕΡΙΦΕΡΕΙΑΚΟ ΘΕΑΤΡΟ ΣΕΡΡΩΝ» (∆Η.ΠΕ.ΘΕ.).</t>
  </si>
  <si>
    <t>ΒΛ49Ω10-101</t>
  </si>
  <si>
    <t>Έγκριση της υπ’ αριθµ. 76/2013 απόφασης του ∆.Σ. του Ν.Π.∆.∆. του ∆ήµου µε την επωνυµία Ο.Π.Α.Κ.Π.Α. µε θέµα: ¨Έγκριση απολογιστικών στοιχειών κληροδοτηµάτων του Ν.Π.∆.∆. για το έτος2012 (Κωνσταντίνου Τσιάγκα και Αφροδίτη Σιόλα, οδός Βασ. Βασιλείου32 Σέρρες)¨.</t>
  </si>
  <si>
    <t>ΒΛ46Ω10-ΗΛΞ</t>
  </si>
  <si>
    <t>Έγκριση διενέργειας προµήθειας ανταλλακτικών για εκτυπωτές-πολυµηχανήµατα και φωτοτυπικά έτους 2013.</t>
  </si>
  <si>
    <t>ΒΕΥΦΩ10-9Τ7</t>
  </si>
  <si>
    <t>Εγκριση της υπ'αριθμ. 5/2013 αποφασης του Δ.Σ. Δ.Ε.Υ.Α Σερρων με θεμα:«Μειωση τμολογιων νερου ΔΕΥΑ Σερρων».</t>
  </si>
  <si>
    <t>Γεν. Δ/ντη της ΔΕΥΑΣ</t>
  </si>
  <si>
    <t>ΒΛ4ΨΩ10-0Μ8</t>
  </si>
  <si>
    <t>Έγκριση διενέργειας παροχής υπηρεσιών των βελτιωµένων εκδόσεων (Releaseς) των προγραµµάτων του ∆ήµου.</t>
  </si>
  <si>
    <t>ΒΛ4ΩΩ10-Λ7Σ</t>
  </si>
  <si>
    <t>Έγκριση δαπάνης για την επισκευή του ηλεκτρικού πίνακα της οικίας Μάλλιου.</t>
  </si>
  <si>
    <t>Τµήµατος Η/Μ Έργων Ενεργειακών Εφαρµογών και Υπηρεσιών</t>
  </si>
  <si>
    <t>ΒΛΠΠΩ10-4ΔΦ</t>
  </si>
  <si>
    <t>Έγκριση χρονικής παράτασης της υπ΄ αριθµ. 37327/02-07-2012 σύµβασης για την προµήθεια 57.552 λίτρων φρέσκου γάλακτος (πλήρες) για επιπλέον τρεις µήνες.</t>
  </si>
  <si>
    <t>ΒΛ46Ω10-5ΛΟ</t>
  </si>
  <si>
    <t>Έγκριση αναµόρφωσης προϋπολογισµού που αφορά τη Μεταφορά Μαθητών Πρωτοβάθµιας και ∆ευτεροβάθµιας Εκπαίδευσης του ∆ήµου Σερρών για το σχολικό έτος2012-2013.</t>
  </si>
  <si>
    <t>ΒΛ46Ω10-ΑΨΦ</t>
  </si>
  <si>
    <t>Αναµόρφωση πιστώσεων εγκεκριµένου προϋπολογισµού οικονοµικού έτους 2013 για τις ληξιπρόθεσµες οφειλές του ∆ήµου µας.</t>
  </si>
  <si>
    <t>ΒΛ4ΗΩ10-ΟΥΟ</t>
  </si>
  <si>
    <t>Έγκριση εκποίησης δια δηµοπρασίας δηµοτικού ακινήτου του αγροκτήµα-τος Ορεινής.</t>
  </si>
  <si>
    <t>ΒΛΠΠΩ10-ΓΡΖ</t>
  </si>
  <si>
    <t>Έγκριση καταβολής αποζηµίωσης επικειµένων λόγω ρυµοτοµίας ιδιοκτησίας κας Ζαφειριάδου Μαρίας του Γεωργίου, στην περιοχή«Σιγής– Ν. Κηφισιάς».</t>
  </si>
  <si>
    <t>ΒΛ46Ω10-ΣΦΑ</t>
  </si>
  <si>
    <t>Έγκριση 1ου Ανακεφαλαιωτικού Πίνακα του έργου: ¨Συντήρηση αγροτικών δρόµων του ∆ήµου µας έτους2012¨.</t>
  </si>
  <si>
    <t>ΒΛ46Ω10-ΔΜΕ</t>
  </si>
  <si>
    <t>Έγκριση Προϋπολογιστικού Πίνακα και Τεχνικής Περιγραφής των εργασιών για την ¨Αποκατάσταση υδραυλικής και ηλεκτρολογικής εγκατάστασης στους ξενώνες Χρυσοπηγής(κτήρια3, 4, 5)¨.</t>
  </si>
  <si>
    <t>Τµ. Έργων, Ενεργειακών Εφαρµογών και Υπηρεσιών</t>
  </si>
  <si>
    <t>ΒΛΠΠΩ10-Ρ4Π</t>
  </si>
  <si>
    <t>Έγκριση παράτασης προθεσµίας του έργου: ¨Πεζοδρόµηση τµήµατος οδού Μεραρχίας¨.</t>
  </si>
  <si>
    <t>ΒΕΥΙΩ10-Υ30</t>
  </si>
  <si>
    <t>Εγκριση της αρ.7/2012 αποφασης του Δ/κου Συμβ. της "Δ.Α.Ε.Κ.Α.Σ", περι "Εγκρισης προυπολογισμου της «Δ.Α.Ε.Κ.Α.Σ.», οικονομιου ετους 2013</t>
  </si>
  <si>
    <t>Καλαιτζιδη Βασιλειου</t>
  </si>
  <si>
    <t>ΔΑΕΚΑΣ</t>
  </si>
  <si>
    <t>ΒΛ4ΚΩ10-ΒΤ1</t>
  </si>
  <si>
    <t>∆ιαγραφή οφειλετών από τους χρηµατικούς βεβαιωτικούς καταλόγους του ∆ήµου.</t>
  </si>
  <si>
    <t>ΒΕΖΖΩ10-Ξ6Α</t>
  </si>
  <si>
    <t>Επιστροφή χρηµάτων ως αχρεωστήτως εισπραχθέντα στην κα Σαµαρά Αναστασία του Σταύρου, που αφορά τέλος χρήσης κοινοχρήστου χώρου.</t>
  </si>
  <si>
    <t>ΒΕΖΖΩ10-0ΜΓ</t>
  </si>
  <si>
    <t>Επιστροφή χρηµάτων ως αχρεωστήτως εισπραχθέντα στην κα Σιαπαρδάνη Σουλτάνα του Κων/νου, που αφορά πάγιο Νεκροταφείων στο Χριστός του ∆ήµου Σερρών</t>
  </si>
  <si>
    <t>ΒΕΖΖΩ10-ΣΓ4</t>
  </si>
  <si>
    <t>Επιστροφή χρηµάτων ως αχρεωστήτως εισπραχθέντα στον κ. Πασχάλη Ευάγγελο του Γεωργίου, που αφορά παράβολο έκδοσης άδειας και λειτουργίας καταστήµατος υγειονοµικού ενδιαφέροντος.</t>
  </si>
  <si>
    <t>ΒΛ4ΩΩ10-ΩΝΘ</t>
  </si>
  <si>
    <t>Έγκριση καταβολής αποζηµίωσης στην Γεωργιανού Μπουρβάνη Αντωνία του Ζαχαρία, πρώην ∆ηµοτικής Υπαλλήλου, λόγω συνταξιοδότησης.</t>
  </si>
  <si>
    <t>ΒΛΠΠΩ10-8Δ5</t>
  </si>
  <si>
    <t>Έγκριση ανάθεσης πραγµατογνωµοσύνης στο ΤΕΕ/ΤΚΜ για το έργο ¨Αναβάθµιση υποδοµών αυτοκινητοδροµίου και πάρκου κυκλοφοριακής αγωγής ∆ήµου Σερρών¨.</t>
  </si>
  <si>
    <t>ΒΛΒΟΩ10-ΥΘ5</t>
  </si>
  <si>
    <t>Αντικατάσταση µέλους του ∆ιοικητικού Συµβουλίου της ¨∆ηµοτικής Ανώνυµης Εταιρείας Κτηµατικής Αξιοποίησης ∆ήµου Σερρών¨ (∆ΑΕΚΑΣ).</t>
  </si>
  <si>
    <t>ΒΛΒΟΩ10-Ο4Η</t>
  </si>
  <si>
    <t>Αντικατάσταση µελών του ∆ιοικητικού Συµβουλίου της Κοινωφελούς Επιχείρησης ∆ήµου Σερρών(Κ.Ε.∆Η.Σ.).</t>
  </si>
  <si>
    <t>ΒΛΩΒΩ10-ΥΞΙ</t>
  </si>
  <si>
    <t>Λήψη απόφασης για την ανάρτηση της σηµαίας του ∆ήµου Σερρών στα κτίρια των ΝΠ∆∆, ΝΠΙ∆ και Α.Ε. του.</t>
  </si>
  <si>
    <t>ΒΕΥ5Ω10-ΠΥ8</t>
  </si>
  <si>
    <t>Εγκριση εκποιησης δια δημοπρασιας δημοτικου ακινητου του αγροκτηματος Λευκωνα</t>
  </si>
  <si>
    <t>Τμημα Διαχειρησης Ακινητης Περιουσιας</t>
  </si>
  <si>
    <t>ΒΛ40Ω10-ΕΤ2</t>
  </si>
  <si>
    <t>Καθορισµός χώρου και ηµεροµηνίας για τη διεξαγωγή συνεδρίασης για τον απολογισµό πεπραγµένων της δηµοτικής αρχής έτους2012 (άρθρο217 περ. 3 του Ν. 3463/06).</t>
  </si>
  <si>
    <t>ΒΛΩΒΩ10-ΘΣΤ</t>
  </si>
  <si>
    <t>Έγκριση Σχεδίου Κανονισµού Οργάνωσης και Λειτουργίας του Πάρκου Περιβαλλοντικής Αγωγής ∆ήµου Σερρών.</t>
  </si>
  <si>
    <t>ΒΛΩΒΩ10-6ΤΙ</t>
  </si>
  <si>
    <t>Έγκριση της υπ΄ αρ. 108/2013 απόφασης του ∆.Σ. του ΝΠ∆∆ του ∆ήµου Σερρών µε την επωνυµία « Οργανισµός Προσχολικής Αγωγής, Κοινωνικής Πολιτικής και Αθλητισµού ∆ήµου Σερρών(ΟΠΑΚΠΑ), µε θέµα: ¨Έγκριση Ετησίου Προγράµµατος ∆ράσης έτους2013 του Ν.Π.∆.∆. &lt;ΟΠΑΚΠΑ&gt;¨.</t>
  </si>
  <si>
    <t>ΒΛΩΨΩ10-ΑΞ5</t>
  </si>
  <si>
    <t>Ονοµατοδοσία οδών, µετά από γνωµοδότηση της επιτροπής ονοµατοδοσίας οδών και πλατειών του άρθρου 8 του Ν. 3463/2006, σύµφωνα µε το πρακτικό1/2013.</t>
  </si>
  <si>
    <t>ΒΛΩΨΩ10-4Γ9</t>
  </si>
  <si>
    <t>Ονοµατοδοσία οδών, µετά από γνωµοδότηση της επιτροπής ονοµατοδοσίας οδών και πλατειών του άρθρου 8 του Ν. 3463/2006, σύµφωνα µε το πρακτικό 2/2013.</t>
  </si>
  <si>
    <t>ΒΛ40Ω10-Ι4Ε</t>
  </si>
  <si>
    <t>ΒΛΩΥΩ10-Μ10</t>
  </si>
  <si>
    <t>Έγκριση εκτέλεσης εδαφοτεχνικών ερευνητικών γεωτρήσεων σε αγροτικές περιοχές του ∆ήµου Σερρών από την εταιρεία «Asprofos Engineering» εκπρόσωπο της«Trans Adriatic Pipeline A.G.» στην Ελλάδα.</t>
  </si>
  <si>
    <t>ΒΛ40Ω10-ΒΞ0</t>
  </si>
  <si>
    <t>Έγκριση δωρεάν παραχώρησης κατά χρήση του Περιβαλλοντικού Πάρκου Αγ. Γεωργίου στην Κοινωνική Συνεταιριστική Επιχείρηση «Σέρρανθος ΚΟΙΝ. Σ.ΕΠ.»</t>
  </si>
  <si>
    <t>ΒΛ43Ω10-Δ92</t>
  </si>
  <si>
    <t>Αποδοχή επιπλέον χρηµατοδότησης για την υλοποίηση του υποέργου4 της πράξης «ΒΕΛΤΙΩΣΗ ΕΝΕΡΓΕΙΑΚΗΣ ΑΠΟ∆ΟΣΗΣ ΤΟΥ 5ου ∆ΗΜΟΤΙΚΟΥ ΣΧΟΛΕΙΟΥ ∆ΗΜΟΥ ΣΕΡΡΩΝ ΜΕ ΤΗΝ ΥΛΟΠΟΙΗΣΗ ∆ΡΑΣΕΩΝ ΕΞΟΙΚΟΝΟΜΗΣΗΣ ΕΝΕΡΓΕΙΑΣ ΚΑΙ ΤΗΝ ΕΓΚΑΤΑΣΤΑΣΗ ΣΥΣΤΗΜΑΤΟΣ ΑΒΑΘΟΥΣ ΓΕΩΘΕΡΜΙΑΣ», ποσού 177.813,41 € από το ΕΠΙΧΕΙΡΗΣΙΑΚΟ ΠΡΟΓΡΑΜΜΑ ΠΕΡΙΒΑΛΛΟΝ&amp; ΑΕΙΦΟΡΟΣ ΑΝΑΠΤΥΞΗ.</t>
  </si>
  <si>
    <t>ΒΛ4ΙΩ10-5ΕΡ</t>
  </si>
  <si>
    <t>Αποδοχή επιπλέον χρηµατοδότησης για την υλοποίηση του υποέργου4 της πράξης: «Πρότυπο Επιδεικτικό έργο εφαρµογών Ανανεώσιµων Πηγών Ενέργειας και Εξοικονόµησης Ενέργειας στο20ο ∆ηµοτικό Σχολείο Σερρών», ποσού37.834,26 € από το ΕΠΙΧΕΙΡΗΣΙΑΚΟ ΠΡΟΓΡΑΜΜΑ ΠΕΡΙΒΑΛΛΟΝ &amp; ΑΕΙΦΟΡΟΣ ΑΝΑΠΤΥΞΗ».</t>
  </si>
  <si>
    <t>ΒΕΤΠΩ10-ΩΕ0</t>
  </si>
  <si>
    <t>Εγκριση ανταλλαγης τμηματος αγροτικης οδου με τμημα αγροτεμαχιου ιδιοκτησιας κ. Ιωαννιδη Σπυριδωνα, στο αγροκτημα Σερρων.</t>
  </si>
  <si>
    <t>Τμημα Διαχειρισης Ακινητης Περιουσιας</t>
  </si>
  <si>
    <t>ΒΛ4ΙΩ10-Η4Ι</t>
  </si>
  <si>
    <t>Έγκριση διενέργειας προµήθειας ανταλλακτικών για την επισκευή φωτοτυπικών µηχανηµάτων του ∆ήµου Σερρών έτους2013.</t>
  </si>
  <si>
    <t>ΒΛ4ΝΩ10-Τ6Ε</t>
  </si>
  <si>
    <t>Έγκριση κατανοµής του ποσού των 2.000,00 € για αγορά εξοπλισµού για τη λειτουργία του Τµήµατος Πολιτικής Προστασίας του ∆ήµου µας και διενέργειας προµήθειας.</t>
  </si>
  <si>
    <t>ΒΛ4ΜΩ10-0Μ3</t>
  </si>
  <si>
    <t>Έγκριση διενέργειας παροχής υπηρεσιών µηχανογραφικής υποστήριξης των προγραµµάτων του ∆ήµου.</t>
  </si>
  <si>
    <t>Τµήµατος Μηχανογράφησης</t>
  </si>
  <si>
    <t>ΒΛΒΟΩ10-5ΨΚ</t>
  </si>
  <si>
    <t>Έγκριση χρηµατοδότησης της εθελοντικής οργάνωσης Αερολέσχη Σερρών, µε το ποσό των 1.500,00 €, για την κάλυψη καυσίµων για την πραγµατοποίηση πτήσεων, κατόπιν εντολής της Πολιτικής Προστασίας του ∆ήµου Σερρών.</t>
  </si>
  <si>
    <t>Τµ. Πολιτικής Προστασίας</t>
  </si>
  <si>
    <t>ΒΛΒΟΩ10-2ΘΙ</t>
  </si>
  <si>
    <t>Έγκριση χρηµατοδότησης της εθελοντικής οργάνωσης Λέσχη Ειδικών ∆υνάµεων Ν. Σερρών, µε το ποσό των 2.000,00 €, για την αγορά υλικών εξοπλισµού, κατόπιν εντολής της Πολιτικής Προστασίας του ∆ήµου Σερρών.</t>
  </si>
  <si>
    <t>ΒΛ4ΜΩ10-Μ9Τ</t>
  </si>
  <si>
    <t>Έγκριση καταβολής δαπάνης δηµοσίευσης περιλήψεων διακηρύξεων του ανοικτού διαγωνισµού για προµήθεια υγρών καυσίµων έτους 2013.</t>
  </si>
  <si>
    <t>ΒΛ40Ω10-8Ν5</t>
  </si>
  <si>
    <t>Αποδέσµευση µέρους της εγγύησης καλής εκτέλεσης της µε αριθµ20434 /05-04-2013 σύµβασης για την προµήθεια υγρών καυσίµων έτους2013.</t>
  </si>
  <si>
    <t>Tµήµατος Προµηθειών</t>
  </si>
  <si>
    <t>ΒΛ4ΙΩ10-ΠΓΕ</t>
  </si>
  <si>
    <t>Αναµόρφωση πιστώσεων εγκεκριµένου προϋπολογισµού οικ. έτους 2013 για την εξόφληση της 3ης εντολής του έργου: ¨Οδοποιία - Οδοστρωσία ∆ήµου Σερρών έτους 2007¨.</t>
  </si>
  <si>
    <t>ΒΛ4ΙΩ10-ΘΦΘ</t>
  </si>
  <si>
    <t>Αναµόρφωση πιστώσεων εγκεκριµένου προϋπολογισµού οικ. έτους 2013 για οφειλές που αφορούν έξοδα κίνησης υπαλλήλων και αιρετών, καθώς και υπερωριακή εργασία υπαλλήλων.</t>
  </si>
  <si>
    <t>ΒΛ4ΤΩ10-ΕΞΠ</t>
  </si>
  <si>
    <t>Αναµόρφωση πιστώσεων εγκεκριµένου προϋπολογισµού οικ. έτους 2013 για την ενίσχυση των κωδικών που αφορούν διάφορες κρατήσεις.</t>
  </si>
  <si>
    <t>ΒΕΥΘΩ10-Φ29</t>
  </si>
  <si>
    <t>Εγκριση της τροποιημενης μελετης του εργου:"Εργασιες οδοστρωσιας ετους 2013".</t>
  </si>
  <si>
    <t>ΒΛ4ΙΩ10-6ΩΑ</t>
  </si>
  <si>
    <t>Αναµόρφωση πιστώσεων εγκεκριµένου προϋπολογισµού οικ. έτους 2013 για την ενίσχυση των κωδικών που αφορούν τα δικαστικά έξοδα και τα τηλεφωνικά τέλη</t>
  </si>
  <si>
    <t>ΒΛ4ΖΩ10-ΚΝ1</t>
  </si>
  <si>
    <t>Έγκριση Προϋπολογιστικού Πίνακα του έργου: ¨Κατασκευή επέκτασης περίφραξης κοιµητηρίου Τ.Κ. Βαµβακιάς¨.</t>
  </si>
  <si>
    <t>ΒΛΒΟΩ10-ΨΟΙ</t>
  </si>
  <si>
    <t>Έγκριση Προϋπολογιστικού Πίνακα του έργου: ¨Βελτίωση σωληνωτών διαβάσεων Ορεινής¨.</t>
  </si>
  <si>
    <t>ΒΛΒΟΩ10-ΜΦΞ</t>
  </si>
  <si>
    <t>Έγκριση Προϋπολογιστικού Πίνακα του έργου: ¨Κατασκευή οχετού στη θέση Σαριάρι¨.</t>
  </si>
  <si>
    <t>ΒΛΒΠΩ10-Δ36</t>
  </si>
  <si>
    <t>Έγκριση Προϋπολογιστικού Πίνακα του έργου: ¨Τσιµεντοστρώσεις στην θέση Πρ. Ηλία προς βάλτο¨.</t>
  </si>
  <si>
    <t>ΒΛ4ΙΩ10-ΧΞ1</t>
  </si>
  <si>
    <t>Αναµόρφωση προϋπολογισµού έτους 2013 για την εξόφληση αποζηµίωσης λόγω διάλυσης της σύµβασης στον ανάδοχο του έργου ¨∆ιαµόρφωση κεντρικής πλατείας Τ∆ Κάτω Καµήλας¨.</t>
  </si>
  <si>
    <t>Γρ. Μελετών και Επιβλέψεων</t>
  </si>
  <si>
    <t>ΒΛ4ΙΩ10-Χ3Ξ</t>
  </si>
  <si>
    <t>Αναµόρφωση προϋπολογισµού έτους2013 για την εξόφληση οικονοµικών υποχρεώσεων του έργου: ¨∆ιαµόρφωση κεντρικής πλατείας Τ∆ Σκουτάρεως¨.</t>
  </si>
  <si>
    <t>ΒΛΩΨΩ10-5Ψ0</t>
  </si>
  <si>
    <t>Έγκριση µελέτης του έργου: ¨Συντήρηση του Κοινοτικού Καταστήµατος Άνω Καµήλας (ελαιοχρωµατισµός, διαµόρφωση του αύλειου χώρου και πλακόστρωσή του)¨, πρ/σµού 15.458,51 €.</t>
  </si>
  <si>
    <t>ΒΛΩ5Ω10-53Τ</t>
  </si>
  <si>
    <t>Έγκριση µελέτης του έργου: ¨∆ιαµόρφωση χώρου στάθµευσης στην Τ.Κ. Κάτω Καµήλας¨, πρ/σµού11.756,55 €.</t>
  </si>
  <si>
    <t>ΒΕΥΦΩ10-ΡΣΑ</t>
  </si>
  <si>
    <t>Εγκριση πρωτοκολλου προσωρινης και οριστικης παραλαβης του εργου: "Κατασκευη τσιμεντοδρομου στον οικισμο Χιονοωριου του Δημου Σερρων".</t>
  </si>
  <si>
    <t>ΒΛ4ΤΩ10-ΙΧ8</t>
  </si>
  <si>
    <t>Έγκριση αποκατάστασης φθοράς περίφραξης κας Παπάζογλου Φωτεινής εξαιτίας κατεδαφίσεως παράπλευρου ετοιµόρροπου κτίσµατος από τον κ. Νάσκο Αριστείδη (εθελοντική προσφορά).</t>
  </si>
  <si>
    <t>ΒΛ4ΤΩ10-4ΟΣ</t>
  </si>
  <si>
    <t>Έγκριση διοικητικής αποβολής από κατεχόµενη δηµοτική έκταση, του κ. Κοράκη Χρήστου.</t>
  </si>
  <si>
    <t>Τµ. Τεχνικών Έργων&amp; Κτηµατολογίου</t>
  </si>
  <si>
    <t>ΒΛ4ΣΩ10-Σ6Δ</t>
  </si>
  <si>
    <t>Έγκριση του 1ου Ανακεφαλαιωτικού Πίνακα Εργασιών του έργου: «Αποχέτευση λυµάτων οικισµού Χριστός και ολοκλήρωση εξωτερικού αγωγού λυµάτων ∆ήµου Λευκώνα».</t>
  </si>
  <si>
    <t>ΒΛ4ΣΩ10-ΞΩ3</t>
  </si>
  <si>
    <t>Έγκριση του 1ου Ανακεφαλαιωτικού Πίνακα Εργασιών του έργου: «Κατασκευή πεζοδροµίου στην οδό Απαµείας».</t>
  </si>
  <si>
    <t>ΒΛ4ΣΩ10-ΗΦΡ</t>
  </si>
  <si>
    <t>Έγκριση του 1ου Ανακεφαλαιωτικού Πίνακα Εργασιών και του 1ου ΠΚΤΜΝΕ του έργου: «Ολοκληρωµένες αστικές αναπλάσεις οδικών αξόνων ∆ήµου Σερρών».</t>
  </si>
  <si>
    <t>ΒΛ4ΣΩ10-Ω7Μ</t>
  </si>
  <si>
    <t>Έγκριση του 1ου Ανακεφαλαιωτικού Πίνακα Εργασιών του έργου: «∆ιαµόρφωση πλατείας και πεζοδρόµου οδού Καβάφη».</t>
  </si>
  <si>
    <t>ΒΛ4ΤΩ10-Λ3Χ</t>
  </si>
  <si>
    <t>Έγκριση παράτασης συνολικής προθεσµίας περαίωσης εργασιών του έργου: ¨∆ιαµόρφωση πλατείας και πεζοδρόµου οδού Καβάφη¨.</t>
  </si>
  <si>
    <t>ΒΛ4ΤΩ10-ΕΧ1</t>
  </si>
  <si>
    <t>Έγκριση παράτασης της συµβατικής προθεσµίας περαίωσης εργασιών του έργου: ¨Κατασκευή τοίχου αντιστήριξης στην οδό Μιαούλη του ∆ήµου Σερρών¨.</t>
  </si>
  <si>
    <t>ΒΛ4ΤΩ10-022</t>
  </si>
  <si>
    <t>Έγκριση παράτασης συνολικής προθεσµίας εργασιών του έργου: ¨Ολοκληρωµένες αστικές αναπλάσεις οδικών αξόνων ∆ήµου Σερρών¨.</t>
  </si>
  <si>
    <t>ΒΛ40Ω10-656</t>
  </si>
  <si>
    <t>Έγκριση καταβολής εξόδων κίνησης εκτός έδρας του κ. ∆ηµάρχου, από 24 έως 26 Απριλίου 2013.</t>
  </si>
  <si>
    <t>ΒΕΥΙΩ10-ΧΗΠ</t>
  </si>
  <si>
    <t>Συμμετοχη του Δημου Σερρων σε εκθεσεις τουρισμου στο εξωτερικο κατα το ετος 2013.</t>
  </si>
  <si>
    <t>Γραφειο τυπου αι Δημοσιων Σχεσεων</t>
  </si>
  <si>
    <t>ΒΛ4ΙΩ10-Κ4Υ</t>
  </si>
  <si>
    <t>Έγκριση καταβολής εξόδων κίνησης εκτός έδρας του κ. ∆ηµάρχου, από 9 έως 10 Μαίου 2013.</t>
  </si>
  <si>
    <t>ΒΛ4ΙΩ10-ΧΓΞ</t>
  </si>
  <si>
    <t>Έγκριση καταβολής εξόδων κίνησης εκτός έδρας του κ. ∆ηµάρχου, από 17 έως 18 Ιουνίου 2013.</t>
  </si>
  <si>
    <t>ΒΛ4ΣΩ10-01Ω</t>
  </si>
  <si>
    <t>Έγκριση καταβολής εξόδων κίνησης εκτός έδρας του Αντιδηµάρχου Ανάπτυξης- Αγροτικής Οικονοµίας κ. Γρηγοριάδη Παναγιώτη, στις 14-6-2013, στην Αθήνα, συµµετέχοντας σε πρόγραµµα.</t>
  </si>
  <si>
    <t>Tµήµατος ∆/κών ∆ιαδικασιών</t>
  </si>
  <si>
    <t>ΒΛ4ΣΩ10-ΛΝΞ</t>
  </si>
  <si>
    <t>Έγκριση καταβολής εξόδων κίνησης εκτός έδρας του Αντιδηµάρχου ∆ιοικητικών-Οικονοµικών Λειτουργιών-Ηλεκτρονικής ∆ιακυβέρνησης και ∆ιαφάνειας κ. Στέργιου Γαλάνη, στις 9-5-2013, στην Αθήνα.</t>
  </si>
  <si>
    <t>ΒΛ4ΤΩ10-ΑΩΜ</t>
  </si>
  <si>
    <t>Έγκριση καταβολής εξόδων κίνησης εκτός έδρας του Νοµικού Συµβούλου του ∆ήµου, Αµαξόπουλου Ηλία, στις 22-1-2013.</t>
  </si>
  <si>
    <t>ΒΛ4ΤΩ10-2ΝΜ</t>
  </si>
  <si>
    <t>Έγκριση καταβολής εξόδων κίνησης εκτός έδρας των κ.κ. Κοκκινίδου Αθηνάς και Πουρπούρη Χρήστου, στο ∆ήµοPetrich της Βουλγαρίας, στις 13-6-2013.</t>
  </si>
  <si>
    <t>ΒΛ4ΤΩ10-ΝΑ7</t>
  </si>
  <si>
    <t>Έγκριση καταβολής εξόδων κίνησης εκτός έδρας των κ.κ. Γιαννάκη Γεωργίου και Κοκκινίδου Αθηνάς, υπαλλήλων του ∆ήµου, συµµετέχοντες σε πρόγραµµα</t>
  </si>
  <si>
    <t>ΒΛ4ΤΩ10-ΩΡΞ</t>
  </si>
  <si>
    <t>Έγκριση καταβολής εξόδων κίνησης εκτός έδρας του ∆/ντή της ∆ηµοτικής Αστυνοµίας κ. Μπαίρα Χρήστου, από 14-4-2013 έως 15-4-2013.</t>
  </si>
  <si>
    <t>ΒΕΔΓΩ10-415</t>
  </si>
  <si>
    <t>Εκδοση Κανονιστικης αποφασης κυκλοφοριακων αλλαγων στην πολη των Σερρων, με βαση την υπ'αριθμ. 6/2013 αποφαση της Επιτροπης Ποιοτητας Ζωης.</t>
  </si>
  <si>
    <t>ΒΛ4ΤΩ10-5ΤΔ</t>
  </si>
  <si>
    <t>Έγκριση καταβολής εξόδων κίνησης εκτός έδρας του Προϊσταµένου της Ειδ. Ταµιακής Υπηρεσίας του ∆ήµου κ. Θεοδωρίδη Θεόφιλου, στις 9-5-2013.</t>
  </si>
  <si>
    <t>ΒΛ4ΑΩ10-0ΧΦ</t>
  </si>
  <si>
    <t>Έγκριση καταβολής εξόδων κίνησης εκτός έδρας των υπαλλήλων του ∆ήµου, κατά τον µήνα Ιανουάριο 2013.</t>
  </si>
  <si>
    <t>ΒΛ4ΑΩ10-7ΘΩ</t>
  </si>
  <si>
    <t>Έγκριση καταβολής εξόδων κίνησης εκτός έδρας των υπαλλήλων του ∆ήµου, κατά τον µήνα Φεβρουάριο 2013.</t>
  </si>
  <si>
    <t>ΒΛ94Ω10-ΚΝΨ</t>
  </si>
  <si>
    <t>Έγκριση καταβολής εξόδων κίνησης εκτός έδρας των υπαλλήλων του ∆ήµου, κατά τον µήνα Μάρτιο 2013.</t>
  </si>
  <si>
    <t>ΒΛ45Ω10-071</t>
  </si>
  <si>
    <t>Έγκριση καταβολής εξόδων κίνησης εκτός έδρας των υπαλλήλων του ∆ήµου, κατά τον µήνα Απρίλιο 2013</t>
  </si>
  <si>
    <t>ΒΛΩΡΩ10-ΕΟΒ</t>
  </si>
  <si>
    <t>Έγκριση καταβολής εξόδων κίνησης εκτός έδρας των υπαλλήλων του ∆ήµου, κατά τον µήνα Μάιο 2013.</t>
  </si>
  <si>
    <t>ΒΛ45Ω10-ΤΦ9</t>
  </si>
  <si>
    <t>Έγκριση καταβολής εξόδων κίνησης εκτός έδρας των υπαλλήλων του ∆ήµου, κατά τον µήνα Ιούνιο 2013.</t>
  </si>
  <si>
    <t>ΒΛ40Ω10-ΖΜΗ</t>
  </si>
  <si>
    <t>Έκδοση ψηφίσµατος σε ένδειξη συµπαράστασης στους ∆ηµοτικούς Υπαλλήλους ενόψει των επικείµενων απολύσεων ∆ηµοτικών Αστυνοµικών και Σχολικών Φυλάκων.</t>
  </si>
  <si>
    <t>ΒΕΔ3Ω10-22Χ</t>
  </si>
  <si>
    <t>Επικαιροποιηση του Ετησιου Προγραμματος Δρασης για το ετος 2013 του Δημου Σερρων και αναμορφωση του προυπολογισμου ετους 2013.</t>
  </si>
  <si>
    <t>Τμ.Προγραμματισμου Αναπτυξης, Ποιοτητας &amp; Αποδοτικοτητας</t>
  </si>
  <si>
    <t>ΒΛ4ΝΩ10-Λ0Γ</t>
  </si>
  <si>
    <t>Αντικατάσταση εκπροσώπου του ∆ήµου Σερρών στην κοινή επιτροπή παρακολούθησης του Φεστιβάλ Αµφίπολης.</t>
  </si>
  <si>
    <t>ΒΛ9ΙΩ10-Β0Χ</t>
  </si>
  <si>
    <t>Ενηµέρωση και λήψη απόφασης για τον εκκαθαριστή της Κ.Ε.Π.Σ. ∆ήµου Σερρών.</t>
  </si>
  <si>
    <t>κ. Πέτρος Αγγελίδης</t>
  </si>
  <si>
    <t>ΒΛΩ7Ω10-ΣΘΑ</t>
  </si>
  <si>
    <t>Αποδοχή από το ∆ήµο Σερρών ποσού281.000,00 € λόγω ισόποσης µείωσης του Μετοχικού Κεφαλαίου της ∆.Α.Ε.Κ.Α.Σ.</t>
  </si>
  <si>
    <t>ΒΛ4ΜΩ10-Η5Δ</t>
  </si>
  <si>
    <t>Έγκριση αναµόρφωσης οικονοµικής στοχοθεσίας2013 του ∆ήµου Σερρών.</t>
  </si>
  <si>
    <t>∆/νσης Οικονοµικών Υπηρεσιών</t>
  </si>
  <si>
    <t>ΒΛΩ9Ω10-ΒΝ2</t>
  </si>
  <si>
    <t>Έγκριση πρόσληψης προσωπικού µε ηµεροµίσθιο, µε βάση τις διατάξεις της περίπτ. κ΄ παρ. 2 του άρθρου 12 του ν. 4071/2012.</t>
  </si>
  <si>
    <t>∆/ντή ∆/κών Υπηρεσιών</t>
  </si>
  <si>
    <t>ΒΛΩΒΩ10-ΞΒΔ</t>
  </si>
  <si>
    <t>Αναστολή παραχώρησης κοινόχρηστων χώρων στον υπό κατασκευή πεζόδροµο της οδού Κ. Καραµανλή.</t>
  </si>
  <si>
    <t>Τµ. Αγρ. &amp; Κτηνοτρ. Παραγωγής&amp; Αλιείας</t>
  </si>
  <si>
    <t>ΒΛΩΝΩ10-ΙΗΚ</t>
  </si>
  <si>
    <t>Έγκριση µείωσης µισθώµατος της « ΣΟΥΖΑΣ Ν. &amp; ΣΙΑ Ο.Ε.», εδαφικής έκτασης αγροκτήµατος Ορεινής.</t>
  </si>
  <si>
    <t>ΒΕΔ0Ω10-ΖΚΒ</t>
  </si>
  <si>
    <t>Εγκριση ιδρυσης λαικης αγορας βιολογικων προιοντων στην εδρα του Δημου Σερρων.</t>
  </si>
  <si>
    <t>Τμ.Αγροτ. και Κτηνοτρ. Παραγωγης &amp; Αλιειας</t>
  </si>
  <si>
    <t>ΒΛΩ7Ω10-ΔΕΟ</t>
  </si>
  <si>
    <t>Έγκριση παράτασης της µε αρ. 528/2012 Α.∆.Σ. ¨Έγκριση σχεδίου σύµβασης ∆ιαδηµοτικής Συνεργασίας µε το ∆ήµο Ν. Ζίχνης για την υποστήριξή του µε τις ειδικότητες γεωλόγου και µηχανολόγου µηχανικού του ∆ήµου µας¨.</t>
  </si>
  <si>
    <t>ΒΛΒΟΩ10-6ΗΦ</t>
  </si>
  <si>
    <t>Αναµόρφωση πιστώσεων εγκεκριµένου προϋπολογισµού οικ. έτους 2013 για τη σύναψη σύµβασης παροχής κτηνιατρικών υπηρεσιών για τις ανάγκες του κυνοκοµείου.</t>
  </si>
  <si>
    <t>∆/νσης Ανάπτυξης και Αγροτικής Οικονοµίας</t>
  </si>
  <si>
    <t>ΒΛΩ9Ω10-Θ01</t>
  </si>
  <si>
    <t>Έγκριση µελέτης παροχής υπηρεσιών µε τίτλο: « Ασφάλιση τροχαίου υλικού του ∆ήµου Σερρών», για το έτος 2013-2014».</t>
  </si>
  <si>
    <t>ΒΛ4ΜΩ10-Ν77</t>
  </si>
  <si>
    <t>Έγκριση διενέργειας προµήθειας δέκα (10) σάκων ασβέστη, για τις ανάγκες της ∆.Κ. Μητρουσίου.</t>
  </si>
  <si>
    <t>ΒΛΩ5Ω10-ΑΕΡ</t>
  </si>
  <si>
    <t>Έγκριση υποβολής πρότασης χρηµατοδότησης της πράξης: « Αποπεράτωση-ενεργειακή και περιβαλλοντική αναβάθµιση του κλειστού Γυµναστηρίου στον Άγιο Ιωάννη του ∆ήµου Σερρών», στο πλαίσιο της πρόσκλησης1.16 του ΕΠΙΧΕΙΡΗΣΙΑΚΟΥ ΠΡΟΓΡΑΜΜΑΤΟΣ ΠΕΡΙΒΑΛΛΟΝ ΚΑΙ ΑΕΙΦΟΡΟΣ ΑΝΑΠΤΥΞΗ.</t>
  </si>
  <si>
    <t>ΒΛΩ5Ω10-364</t>
  </si>
  <si>
    <t>Έγκριση υποβολής πρότασης χρηµατοδότησης της πράξης: « Αποπεράτωση και ενεργειακή αναβάθµιση του κλειστού κολυµβητηρίου στο Αθλητικό Πάρκο Οµόνοιας του ∆ήµου Σερρών», στο πλαίσιο της πρόσκλησης1.16 του ΕΠΙΧΕΙΡΗΣΙΑΚΟΥ ΠΡΟΓΡΑΜΜΑΤΟΣ ΠΕΡΙΒΑΛΛΟΝ ΚΑΙ ΑΕΙΦΟΡΟΣ ΑΝΑΠΤΥΞΗ.</t>
  </si>
  <si>
    <t>ΒΛΩΔΩ10-52Ρ</t>
  </si>
  <si>
    <t>Τροποποίηση της µε αρ. 422/2012 Απόφασης ∆ηµοτικού Συµβουλίου περί έγκριση υποβολής πρότασης στο Επιχειρησιακό Πρόγραµµα Μακεδονία-Θράκη2007-2013 και τροποποίηση της71/2012 µελέτης του υποέργου της πράξης.</t>
  </si>
  <si>
    <t>ΒΛ4ΝΩ10-ΩΥΙ</t>
  </si>
  <si>
    <t>Έγκριση αναµόρφωσης πιστώσεων εγκεκριµένου προϋπολογισµού οικονοµικού έτους 2013 για την ενίσχυση κωδικών που αφορούν διάφορες κρατήσεις(αναµορφώσεις1 και54/2013).</t>
  </si>
  <si>
    <t>ΒΛ4ΝΩ10-ΛΓ8</t>
  </si>
  <si>
    <t>Έγκριση αναµόρφωσης πιστώσεων εγκεκριµένου προϋπολογισµού οικονοµικού έτους 2013 για την ενίσχυση διαφόρων κωδικών.</t>
  </si>
  <si>
    <t>ΒΛΩ7Ω10-ΔΨΦ</t>
  </si>
  <si>
    <t>Μη τροποποίηση εγκεκριµένου ρυµοτοµικού σχεδίου στα Ο.Τ. 553 και555 της Π.Ε. της πόλης Σερρών«Άνω Καµενίκια– Ιµαρέτ».</t>
  </si>
  <si>
    <t>ΒΕΤΨΩ10-ΞΟΡ</t>
  </si>
  <si>
    <t>Ορισμος μελους για τη συγκροτηση επιτροπης παραλαβης εργων προυπολογισμου ανω των 5.896,41€ του ετους 2013, συμφωνα με τις διαταξεις του αρθρου 16 του Π.Δ. 171/1987, οπως τροποποιηθηκε με το Π.Δ. 229/1999.</t>
  </si>
  <si>
    <t>ΒΛΩ7Ω10-5ΙΧ</t>
  </si>
  <si>
    <t>Έγκριση παραχώρησης διαµορφωτήρα(γκρέιντερ) στο Τ.Ο.Ε.Β. Προβατά.</t>
  </si>
  <si>
    <t>ΒΛ4ΝΩ10-Β86</t>
  </si>
  <si>
    <t>Έγκριση και παραλαβή της µελέτης µε τίτλο: « Ειδική Στατική Μελέτη 3 Τριδύµων Οχετών στο Χείµαρρο Καµενικίων» και του πινακίου αµοιβής του µελετητή.</t>
  </si>
  <si>
    <t>ΒΛΩ7Ω10-ΚΔΚ</t>
  </si>
  <si>
    <t>Έγκριση Προϋπολογιστικού Πίνακα του έργου: ¨Επισκευή µνηµείου κεντρικής πλατείας Κ. Καµήλας¨.</t>
  </si>
  <si>
    <t>ΒΛ4ΜΩ10-ΙΓΤ</t>
  </si>
  <si>
    <t>Έγκριση του 1ου ΑΠΕ και του 1ου ΠΚΤΝΜΕ του έργου: «Εφαρµογή σχεδίου πόλεως στην περιοχή Πράξης Εφαρµογής Εργατικών Κατοικιών».</t>
  </si>
  <si>
    <t>ΒΛΩΥΩ10-39Π</t>
  </si>
  <si>
    <t>Έγκριση µετακίνησης εκτός έδρας του ∆ηµάρχου Σερρών, κατά τους µήνες Ιούνιο και Ιούλιο 2013.</t>
  </si>
  <si>
    <t>ΒΛΩΒΩ10-Ε41</t>
  </si>
  <si>
    <t>Έγκριση σχεδίου 3ης σύµβασης ∆ιαδηµοτικής Συνεργασίας για την παροχή υποστήριξης από την ∆.Τ.Υ. του ∆ήµου Σερρών προς την ∆.Τ.Υ. του ∆ήµου Βισαλτίας.</t>
  </si>
  <si>
    <t>ΒΛΒΠΩ10-1Φ2</t>
  </si>
  <si>
    <t>Έγκριση υλοποίησης της παροχής υπηρεσιών για την διερεύνηση των αιτιών του φαινόµενου αποκόλλησης αδρανών από την κύρια πίστα του αυτοκινητοδροµίου στα πλαίσια του έργου «Αναβάθµιση υποδοµών Αυτοκινητοδροµίου&amp; Π.Κ.Α. ∆. Σερρών».</t>
  </si>
  <si>
    <t>ΒΛ9ΚΩ10-ΛΞΗ</t>
  </si>
  <si>
    <t>Αντικατάσταση µέλους του ∆ιοικητικού Συµβουλίου της ∆.Ε.Υ.Α. Σερρών.</t>
  </si>
  <si>
    <t>ΒΛ9ΕΩ10-ΝΤΓ</t>
  </si>
  <si>
    <t>Έγκριση πρόσληψης προσωπικού µε σύµβαση εργασίας ορισµένου χρόνου στο πλαίσιο της ενταγµένης πράξης «Ανάπτυξη ∆οµών και Υπηρεσιών της Τοπικής Αυτοδιοίκησης προς όφελος των γυναικών και για την καταπολέµηση της βίας – ∆ηµιουργία Κέντρων Συµβουλευτικής Υποστήριξης Γυναικών θυµάτων βίας σε τοπικό επίπεδο στον Άξονα Προτεραιότητας 08» του Επιχειρησιακού Προγράµµατος «∆ιοικητική Μεταρρύθµιση2007-2013».</t>
  </si>
  <si>
    <t>∆/νσης Κοινωνικής Προστασίας Υγείας Παιδείας και Πολιτισµού</t>
  </si>
  <si>
    <t>ΒΕΤ6Ω10-ΜΟΑ</t>
  </si>
  <si>
    <t>Εγκριση μεταφορας και καταθεσης χρηματικων διαθεσιμων κληροδοτηματος «Αποστολιδη Ιωαννη σε πιστωτικο ιδρυμα που επιλεχθηκε για συνεργασια απο το Δημο Σερρων».</t>
  </si>
  <si>
    <t>Τμημα Λογιστηριου</t>
  </si>
  <si>
    <t>ΒΛ97Ω10-2ΛΙ</t>
  </si>
  <si>
    <t>Ενηµέρωση του ∆.Σ. επί της αριθµ. 3 / 2013 απόφασης του ∆/κού Συµβουλίου της ∆ηµοτικής Ανώνυµης Εταιρείας µε την επωνυµία «∆.Α.Ε.Κ.Α.Σ.», περί: «Παραλαβή έρευνας των προτάσεων του Τ.Ε.Ι. Σερρών από το ∆.Σ. της ∆.Α.Ε.Κ.Α.Σ. για την αξιοποίηση της ακίνητης περιουσίας του ∆ήµου Σερρών».</t>
  </si>
  <si>
    <t>∆.Α.Ε.Κ.Α.Σ.</t>
  </si>
  <si>
    <t>ΒΛ97Ω10-ΛΟΙ</t>
  </si>
  <si>
    <t>Ενηµέρωση του ∆.Σ. επί της αριθµ. 4 / 2013 απόφασης του ∆/κού Συµβουλίου της ∆ηµοτικής Ανώνυµης Εταιρείας µε την επωνυµία«∆.Α.Ε.Κ.Α.Σ.», περί: «Έγκριση εξόφλησης τιµολογίου».</t>
  </si>
  <si>
    <t>ΒΛ97Ω10-1ΕΩ</t>
  </si>
  <si>
    <t>Ενηµέρωση του ∆.Σ. επί της αριθµ. 5 / 2013 απόφασης του ∆/κού Συµβουλίου της ∆ηµοτικής Ανώνυµης Εταιρείας µε την επωνυµία «∆.Α.Ε.Κ.Α.Σ.», περί: «Κοινοποίηση της έρευνας των προτάσεων του Τ.Ε.Ι. Σερρών».</t>
  </si>
  <si>
    <t>ΒΛΩ8Ω10-01Ο</t>
  </si>
  <si>
    <t>Έγκριση συµµετοχής του ∆ήµου Σερρών στην Ευρωπαϊκή Εβδοµάδα Κινητικότητας για το έτος 2013.</t>
  </si>
  <si>
    <t>ΒΛ9ΛΩ10-Φ4Μ</t>
  </si>
  <si>
    <t>Έγκριση προϋπολογισµού κληροδοτήµατος « Αποστολίδη Ιωάννη», έτους 2014.</t>
  </si>
  <si>
    <t>ΒΛ0ΝΩ10-ΠΑ3</t>
  </si>
  <si>
    <t>Έγκριση µεταφοράς υπολοίπου και κλείσιµο λογαριασµού των Ν.Ε.Λ.Ε. στην Τράπεζα της Ελλάδος βάσει του ν. 3879/2010» και µεταφοράς του σε λογαριασµό του ∆ήµου.</t>
  </si>
  <si>
    <t>∆/νσης Κοινωνικής Προστασίας Υγείας, Παιδείας και Πολιτισµού</t>
  </si>
  <si>
    <t>ΒΛ97Ω10-8ΧΧ</t>
  </si>
  <si>
    <t>Έγκριση διοικητικής αποβολής από κατεχόµενη δηµοτική έκταση, του κ. Καφετζή Πέτρου.</t>
  </si>
  <si>
    <t>ΒΛ9ΩΩ10-5Ρ8</t>
  </si>
  <si>
    <t>Έγκριση υποβολής προτάσεων στο πλαίσιο του IPA Προγράµµατος ∆ιασυνοριακής Συνεργασίας “Ελλάδα-πρώην Γιουγκοσλαβική ∆ηµοκρατία της Μακεδονίας 2007-2013”»</t>
  </si>
  <si>
    <t>ΒΛ9ΩΩ10-ΒΣΣ</t>
  </si>
  <si>
    <t>Έγκριση υποβολής πρότασης χρηµατοδότησης της πράξης « Προµήθεια κάδων κοµποστοποίησης βιοαποβλήτων στο ∆ήµο Σερρών» στο πλαίσιο της πρόσκλησης 4.10 όπως αυτή τροποποιήθηκε µε τη 4.10α του ΕΠΙΧΕΙΡΗΣΙΑΚΟΥ ΠΡΟΓΡΑΜΜΑΤΟΣ ΠΕΡΙΒΑΛΛΟΝ ΚΑΙ ΑΕΙΦΟΡΟΣ ΑΝΑΠΤΥΞΗ.</t>
  </si>
  <si>
    <t>ΒΛ94Ω10-Χ6Ι</t>
  </si>
  <si>
    <t>Αποδοχή χρηµατοδότησης για την υλοποίηση της πράξης: «Ανάπτυξη προγράµµατος οικιακής κοµποστοποίησης στο ∆ήµο Σερρών», ποσού 181.000,00 € από το Πράσινο Ταµείο του Υπουργείου Περιβάλλοντος, Ενέργειας και Κλιµατικής Αλλαγής και έγκριση υλοποίησης αυτής.</t>
  </si>
  <si>
    <t>ΒΕΤ6Ω10-ΜΨΜ</t>
  </si>
  <si>
    <t>Εγκριση Απολογισμου και Ισολογισμου ετους 2012 κληροδοτηματος "Αποστολιδη Ιωαννη".</t>
  </si>
  <si>
    <t>ΒΛ9ΓΩ10-9ΧΗ</t>
  </si>
  <si>
    <t>Τροποποίηση άδειας άσκησης υπαίθριου πλανόδιου εµπορίου του κ. Παπαδόπουλου ∆ηµήτριου, ως προς το αντικείµενο της δραστηριότητας.</t>
  </si>
  <si>
    <t>Τµήµατος Αγρ/κής&amp; Κτην/κής Παραγωγής&amp; Αλιείας</t>
  </si>
  <si>
    <t>ΒΛΛΥΩ10-ΡΗ9</t>
  </si>
  <si>
    <t>Έγκριση ίδρυσης Λαϊκής Αγοράς στην Τοπική Κοινότητα Αναγέννησης.</t>
  </si>
  <si>
    <t>ΒΛ9ΒΩ10-Χ63</t>
  </si>
  <si>
    <t>Έγκριση µετατόπισης θέσεων περιπτέρων σε διατηρούµενες θέσεις.</t>
  </si>
  <si>
    <t>Τµ. Αγρ/κής&amp; Κτην/κής Παραγωγής&amp; Αλιείας</t>
  </si>
  <si>
    <t>ΒΛ9ΓΩ10-Θ2Β</t>
  </si>
  <si>
    <t>Περιορισµός βοσκής στο ∆ηµόσιο ∆άσος Λαϊλιά.</t>
  </si>
  <si>
    <t>Τµήµατος Αγρ/κής&amp; Κτην/κής Παραγωγής και Αλιείας</t>
  </si>
  <si>
    <t>ΒΛ9ΡΩ10-7ΕΞ</t>
  </si>
  <si>
    <t>Έγκριση τροποποίησης σύµβασης για την αντιµετώπιση αναγκών που δεν είχαν προβλεφθεί στη σύµβαση του αναδόχου του υποέργου 6 της πράξης«∆ιοργάνωση της Πανεπιστηµιάδας Θεάτρου στο ∆ήµο Σερρών» (ΟΠΣ303618) για το έτος2013</t>
  </si>
  <si>
    <t>ΒΛ97Ω10-Ζ2Τ</t>
  </si>
  <si>
    <t>Έγκριση διενέργειας προµήθειας φρέσκου γάλακτος έτους 2013 για χορήγηση στους δικαιούχους υπαλλήλους του ∆ήµου Σερρών και ψήφιση σχετικής πίστωσης</t>
  </si>
  <si>
    <t>ΒΛ94Ω10-4ΓΗ</t>
  </si>
  <si>
    <t>Έγκριση διενέργειας προµήθειας ζωοτροφών για τις ανάγκες του ∆ηµοτικού Κυνοκοµείου έτους 2013 και ψήφιση σχετικής πίστωσης.</t>
  </si>
  <si>
    <t>ΒΛΩ8Ω10-2ΟΙ</t>
  </si>
  <si>
    <t>Έγκριση προµήθειας Σερραϊκών Παραδοσιακών Ειδών(ούζο, ακανές), για τις ανάγκες του ∆ήµου Σερρών και ψήφιση σχετικής πίστωσης.</t>
  </si>
  <si>
    <t>ΒΛ9ΘΩ10-ΚΨΘ</t>
  </si>
  <si>
    <t>Έγκριση επισκευής του προωθητήρα γαιών µε αριθµό κυκλοφορίας ΜΕ-32987, τύπουCaterpillar D7.</t>
  </si>
  <si>
    <t>Τµήµατος Κίνησης Οχηµάτων</t>
  </si>
  <si>
    <t>ΒΛ94Ω10-4Δ4</t>
  </si>
  <si>
    <t>Αποδέσµευση µέρους της εγγύησης καλής εκτέλεσης της µε αριθµ 20434 / 05-04-2013 σύµβασης για την προµήθεια υγρών καυσίµων έτους2013.</t>
  </si>
  <si>
    <t>ΒΕΤΨΩ10-Β31</t>
  </si>
  <si>
    <t>Εγκριση αναμορφωσης προυπολογισμου κληροδοτηματος «Αποστολιδη Ιωαννη», ετους 2013</t>
  </si>
  <si>
    <t>ΒΛ9ΒΩ10-Υ2Τ</t>
  </si>
  <si>
    <t>Έγκριση υλοποίησης της παροχής υπηρεσιών µε τίτλο: «Παροχή υπηρεσιών υποστήριξης της Τεχνικής Υπηρεσίας στην εκπόνηση επιχειρησιακού σχεδίου αναβάθµισης συστήµατος οδοφωτισµού για την αξιοποίηση χρηµατοδοτικών µηχανισµών».</t>
  </si>
  <si>
    <t>ΒΛ9ΓΩ10-ΧΗΑ</t>
  </si>
  <si>
    <t>Αποδοχή χρηµατοδότησης πίστωσης 41.000,00 Ευρώ των Κεντρικών Αυτοτελών Πόρων (ΣΑΤΑ 2013) για την κάλυψη δράσεων αντιµετώπισης των δασικών πυρκαγιών και έγκριση της µελέτης Παροχής Yπηρεσιών «Αντιπυρική προστασία Λόφου Ακρόπολης Σερρών και επαρχιακών οδών Σερρών– Χρυσοπηγής και Σερρών– Ελαιώνα» για το έτος2013.</t>
  </si>
  <si>
    <t>Τµήµατος Πρασίνου</t>
  </si>
  <si>
    <t>ΒΛ9ΙΩ10-53Υ</t>
  </si>
  <si>
    <t>Έγκριση εκπόνησης µελέτης µε τίτλο: « Μελέτη οριοθέτησης τµήµατος 1200µ. Ποταµού Αγίου Ιωάννη» και τρόπος εκτέλεσής της.</t>
  </si>
  <si>
    <t>ΒΛ9ΒΩ10-Υ0Ζ</t>
  </si>
  <si>
    <t>Αποδοχή και ψήφιση πιστώσεων ΣΑΤΑ έτους2013 για την επισκευή και συντήρηση σχολικών κτιρίων.</t>
  </si>
  <si>
    <t>ΒΛ93Ω10-Ρ71</t>
  </si>
  <si>
    <t>Μη έγκριση παραλαβής των µελετών για το έργο: « Αποχετευτικά δίκτυα µε τη µέθοδο των δικτύων κενού α) ∆.Κ. Μητρουσίου, β) ∆.Κ. Σκουτάρεως και σύνδεσής των µε την Ε.Ε.Λ. του ∆ήµου Σερρών».</t>
  </si>
  <si>
    <t>Τµ. Τεχνικών Έργων</t>
  </si>
  <si>
    <t>ΒΛ9ΡΩ10-ΚΜ5</t>
  </si>
  <si>
    <t>Έγκριση παράτασης σύµβασης µίσθωσης ακινήτων για την στέγαση των παρακάτω Νηπιαγωγείων του ∆ήµου Σερρών (18ο Νηπιαγωγείο, 22ο Νηπιαγωγείο, 12ο Νηπιαγωγείο (1οΤµήµα), 21οΝηπιαγωγείο, 12οΝηπιαγωγείο(2οΤµήµα) του ∆ήµου Σερρών.</t>
  </si>
  <si>
    <t>Τµήµατος Παιδείας</t>
  </si>
  <si>
    <t>ΒΙΕΡΩ10-Λ4Γ</t>
  </si>
  <si>
    <t>∆ηµιουργία κωδικού εσόδου για την καταβολή ποσοστού 3% επί των συνολικών ακαθαρίστων µηνιαίων εσόδων του υπόγειου σταθµού αυτοκινήτων στο Ο.Π. 181 του ∆ήµου Σερρών.</t>
  </si>
  <si>
    <t>ΒΛΩ8Ω10-ΡΑΝ</t>
  </si>
  <si>
    <t>Αναµόρφωση πιστώσεων εγκεκριµένου προϋπολογισµού οικ. έτους 2013 για την ενίσχυση του ΚΑ 00.6512.001 που αφορά την καταβολή τόκων δανείου τηςKommunalkredit International Bank.</t>
  </si>
  <si>
    <t>ΒΛ94Ω10-ΣΓΕ</t>
  </si>
  <si>
    <t>Αναµόρφωση πιστώσεων εγκεκριµένου προϋπολογισµού οικ. έτους 2013 για την ενίσχυση κωδικών που αφορούν διάφορες κρατήσεις(αναµόρφωση 98/2013).</t>
  </si>
  <si>
    <t>ΒΕΤ6Ω10-ΗΧΜ</t>
  </si>
  <si>
    <t>Εγκριση πληρωμης και εξουσιοδοτησης παγιων δαπανων, φορων, κ.λ.π. κληροδοτηματος "ιωαννη Αποστολιδη", ετους 2013.</t>
  </si>
  <si>
    <t>ΒΛ94Ω10-Υ1Η</t>
  </si>
  <si>
    <t>Αναµόρφωση προϋπολογισµού οικ. έτους2013.</t>
  </si>
  <si>
    <t>ΒΛΩ8Ω10-2Δ9</t>
  </si>
  <si>
    <t>Αναµόρφωση προϋπολογισµού µε µεταφορά και κατανοµή πιστώσεων.</t>
  </si>
  <si>
    <t>ΒΛ96Ω10-Θ5Ε</t>
  </si>
  <si>
    <t>Έγκριση τροποποίησης Τεχνικού Προγράµµατος για την υλοποίηση της πράξης: « Πρότυπη πράσινη Αγροκτηνοτροφική Κοινότητα Ελαιώνα ∆ήµου Σερρών» και ψήφιση σχετικών πιστώσεων.</t>
  </si>
  <si>
    <t>ΒΛ9ΙΩ10-ΑΑΤ</t>
  </si>
  <si>
    <t>Έγκριση µελέτης παροχής υπηρεσιών 24ωρης υπηρεσίας τηλεφωνικής υποστήριξης, προϋπολογισµού 11.999,88 € (συµπεριλαµβανοµένου του Φ.Π.Α.) στο πλαίσιο υλοποίησης της πράξης «Κοινωνικό ολοκληρωµένο πληροφοριακό σύστηµα του ∆ήµου Σερρών».</t>
  </si>
  <si>
    <t>ΒΛΩ8Ω10-ΤΩ1</t>
  </si>
  <si>
    <t>Έγκριση παράτασης προθεσµίας υποβολής της µελέτης « Μεταγραφή της κυρωµένης πράξης εφαρµογής Αληµπέκιοϊ της πόλεως Σερρών στο Εθνικό Κτηµατολόγιο».</t>
  </si>
  <si>
    <t>ΒΛΩ8Ω10-ΧΒΨ</t>
  </si>
  <si>
    <t>Έγκριση προϋπολογιστικού πίνακα και τεχνικής περιγραφής των εργασιών: ¨Επισκευή- συντήρηση της µαρκίζας του ∆ηµοτικού Μεγάρου¨.</t>
  </si>
  <si>
    <t>ΒΛ9ΛΩ10-Δ1Τ</t>
  </si>
  <si>
    <t>Έγκριση του 1ου ΑΠΕ και της 1ης συµπληρωµατικής σύµβασης του έργου ¨Οδοστρωσία πόλης Σερρών έτους2012¨.</t>
  </si>
  <si>
    <t>ΒΛ9ΛΩ10-24Β</t>
  </si>
  <si>
    <t>Έγκριση 2ου ΑΠΕ&amp; 1ου Π.Κ.Τ.Μ.Ν.Ε. του έργου: ¨Πεζοδρόµηση τµήµατος οδού Μεραρχίας¨.</t>
  </si>
  <si>
    <t>ΒΛ9ΕΩ10-ΚΧΡ</t>
  </si>
  <si>
    <t>Έγκριση 2ου Ανακεφαλαιωτικού Πίνακα εργασιών του έργου: ¨Ολοκληρω-µένες αστικές αναπλάσεις οδικών αξόνων ∆ήµου Σερρών¨.</t>
  </si>
  <si>
    <t>ΒΛ9ΛΩ10-0Ν9</t>
  </si>
  <si>
    <t>Έγκριση 1ου Ανακεφαλαιωτικού Πίνακα εργασιών του έργου: ¨Επισκευή- συντήρηση 1ου Γυµνασίου Σερρών¨.</t>
  </si>
  <si>
    <t>ΒΕΑΗΩ10-ΩΦΗ</t>
  </si>
  <si>
    <t>Εγκριση τροποποιησης προυπολογισμου του Δημου Σερρων που αφορα τα προνομιακα επιδοματα.</t>
  </si>
  <si>
    <t>Τμημα Κοινωνικης Πολιτικης και Προγραμματων</t>
  </si>
  <si>
    <t>ΒΛΩ8Ω10-ΣΝ9</t>
  </si>
  <si>
    <t>ΒΛ94Ω10-ΗΞΓ</t>
  </si>
  <si>
    <t>Έγκριση παράτασης ενδεικτικών και αποκλειστικών προθεσµιών του έργου: «Κατασκευή 12θέσιου ∆ηµοτικού Σχολείου Σερρών(6ο ∆ηµοτικό Σχολείο Σερρών)».</t>
  </si>
  <si>
    <t>ΒΛΩ8Ω10-ΒΞΟ</t>
  </si>
  <si>
    <t>Έγκριση 2ης παράτασης εργασιών του έργου « Εφαρµογή σχεδίου πόλεως στην περιοχή της Πράξης Εφαρµογής Εργατικών Κατοικιών».</t>
  </si>
  <si>
    <t>ΒΛ97Ω10-Υ1Σ</t>
  </si>
  <si>
    <t>Έγκριση πρωτοκόλλου προσωρινής και οριστικής παραλαβής του έργου: ¨Βελτίωση προσβασιµότητας πηγών έδρας ∆ήµου και κατασκευή έργων αναβάθµισής τους¨.</t>
  </si>
  <si>
    <t>ΒΛ9ΒΩ10-9ΑΠ</t>
  </si>
  <si>
    <t>Έγκριση πρωτοκόλλου προσωρινής και οριστικής παραλαβής του έργου: ¨∆ηµιουργία πάρκου περιβαλλοντικής αγωγής στη θέση ρέµα Αγίου Γεωργίου του ∆ήµου Σερρών¨.</t>
  </si>
  <si>
    <t>ΒΛΩ8Ω10-Β7Θ</t>
  </si>
  <si>
    <t>Ανάκληση της αρ. 851/2009 Α∆Σ και επιστροφή χρηµάτων ως αχρεωστήτως εισπραχθέντα στην κα Κασάπη Αικατερίνη από αγορά τάφου.</t>
  </si>
  <si>
    <t>ΒΛΩΧΩ10-ΣΔΞ</t>
  </si>
  <si>
    <t>Επιστροφή χρηµάτων ως αχρεωστήτως εισπραχθέντα στον κ. Κοτόπουλο Μιχαήλ του Ιωάννη, που αφορά τέλος συµµετοχής του σε ανθοκοµική έκθεση.</t>
  </si>
  <si>
    <t>ΒΛ9ΩΩ10-9ΥΝ</t>
  </si>
  <si>
    <t>∆ιαγραφή λόγω παραγραφής από τους χρηµατικούς καταλόγους του ∆ήµου Σερρών αξιώσεων που βεβαιώθηκαν κατά τα έτη1982 έως και2007 λόγω συµπλήρωσης του χρόνου παραγραφής που προβλέπει το άρθρο 6 του ΑΝ 344/68 και το άρθρο86 του Ν2362/95.</t>
  </si>
  <si>
    <t>Τµήµατος Ειδικής Ταµιακής Υπηρεσίας</t>
  </si>
  <si>
    <t>ΒΛΩΧΩ10-ΔΙΕ</t>
  </si>
  <si>
    <t>∆ιαγραφή χρεών των δηµοτών µας κ.κ. Αλισίδου Νίνα κ.λ.π. από τους χρηµατικούς βεβαιωτικούς καταλόγους του ∆ήµου.</t>
  </si>
  <si>
    <t>ΒΛ97Ω10-ΜΣ0</t>
  </si>
  <si>
    <t>Καταβολή αποζηµίωσης λόγω ρυµοτοµίας ιδιοκτησιών στο Ο.Π. 215α.</t>
  </si>
  <si>
    <t>ΒΕΤ4Ω10-ΛΕΠ</t>
  </si>
  <si>
    <t>Ενημερωση του Δ.Σ. επι της αριθμ. 9 / 2012 αποφασης του Δ/κου Συμβουλιου της Δημοτικης Ανωνυμης Εταιρειας με την επωνυμια «Δ.Α.Ε.Κ.Α.Σ.», περι:«Συζητηση και ληψη αποφασης επι των προτασεων του Τ.Ε.Ι. Σερρων».</t>
  </si>
  <si>
    <t>Δ.Α.Ε.Κ.Α.Σ.</t>
  </si>
  <si>
    <t>ΒΛΩΧΩ10-2ΓΠ</t>
  </si>
  <si>
    <t>Έγκριση έκδοσης άδειας λειτουργίας επιχείρησης προσφοράς υπηρεσιών διαδικτύου, σε «ΚΑΦΕ- ΙΝΤΕΡΝΕΤ» του Τροχίδη ∆ηµητρίου του Ιωάννη.</t>
  </si>
  <si>
    <t>ΒΛΩΧΩ10-047</t>
  </si>
  <si>
    <t>Έγκριση έκδοσης άδειας λειτουργίας επιχείρησης προσφοράς υπηρεσιών διαδικτύου, σε «ΚΑΦΕ - ΙΝΤΕΡΝΕΤ» του Γεµιχόπουλου Θεόφιλου του Μιχαήλ.</t>
  </si>
  <si>
    <t>ΒΛΩΧΩ10-ΤΒ4</t>
  </si>
  <si>
    <t>Έγκριση µετακίνησης εκτός έδρας του ∆ηµάρχου Σερρών, κατά τον µήνα Ιούλιο 2013.</t>
  </si>
  <si>
    <t>ΒΛΩΧΩ10-ΑΔΞ</t>
  </si>
  <si>
    <t>Έγκριση καταβολής εξόδων κίνησης εκτός έδρας του κ. ∆ηµάρχου από τις 11 έως και τις 12 Ιουλίου 2013.</t>
  </si>
  <si>
    <t>ΒΛΩΧΩ10-4Η4</t>
  </si>
  <si>
    <t>Έγκριση καταβολής εξόδων κίνησης εκτός έδρας του κ. ∆ηµάρχου από τις 18 έως και τις 19 Ιουλίου2013.</t>
  </si>
  <si>
    <t>ΒΛ94Ω10-ΘΙΛ</t>
  </si>
  <si>
    <t>Έγκριση καταβολής στην ∆Ε∆∆ΗΕ ποσού 66,72 € για την εκτέλεση εργασιών τοποθέτησης ενός φωτιστικού σώµατος υδραργύρου στο 1οχιλ. Σερρών- Χρυσοπηγής.</t>
  </si>
  <si>
    <t>ΒΛΩΧΩ10-Μ0Β</t>
  </si>
  <si>
    <t>Αποδοχή από το ∆ήµο Σερρών ποσού281.000,00 € λόγω ισόποσης µείωσης του Μετοχικού Κεφαλαίου της ∆.Α.Ε.Κ.Α.Σ. και ανάκληση της αριθµ. 514/2013 Α.∆.Σ</t>
  </si>
  <si>
    <t>Τµ. ∆ιοίκησης</t>
  </si>
  <si>
    <t>ΒΛ9ΒΩ10-Ο0Γ</t>
  </si>
  <si>
    <t>Έγκριση συµµετοχής του ∆ήµου Σερρών στην 78η ∆.Ε.Θ. 2013.</t>
  </si>
  <si>
    <t>ΒΕΑ1Ω10-0ΗΩ</t>
  </si>
  <si>
    <t>Εγκριση συναψης προγραμματικης συμβασης μεταξυ της ΕΣΑΝΣ Α.Α.Ε. και του Δημου Σερρων, στα πλαισια υλοποιησης του εργου ΣΔΙΤ "Υλοποιηση Μοναδας Επεξεργασιας Απορριμματων Νομου Σερρων".</t>
  </si>
  <si>
    <t>ΒΙΨ6Ω10-Ζ4Μ</t>
  </si>
  <si>
    <t>Σχετικά µε την αναπροσαρµογή δηµοτικών τελών καθαριότητας και φωτισµού έτους 2014 και εφεξής.</t>
  </si>
  <si>
    <t>∆ηµοτικής Παράταξης¨Εποχή ∆ηµιουργίας– Θεόδωρος Μηλίδης¨</t>
  </si>
  <si>
    <t>ΒΛΩ8Ω10-7ΑΥ</t>
  </si>
  <si>
    <t>Έγκριση της υπ’ αρ. 190/2013 απόφασης του ∆/κού Συµβουλίου της Κ.Ε.∆.Η.Σ. µε θέµα: «Έγκριση Ετησίου Σχεδίου ∆ράσης, έτους2013, της Κοινωφελούς Επιχείρησης ∆ήµου Σερρών(Κ.Ε.∆.Η.Σ.)».</t>
  </si>
  <si>
    <t>κ. ∆ήµου Ιωάννη</t>
  </si>
  <si>
    <t>Κ.Ε.∆.Η.Σ.</t>
  </si>
  <si>
    <t>ΒΛΩ8Ω10-ΓΛΠ</t>
  </si>
  <si>
    <t>Έγκριση της υπ’ αρ. 191/2013 απόφασης του ∆/κού Συµβουλίου της Κ.Ε.∆.Η.Σ. µε θέµα: «Έγκριση Εισηγητικής έκθεσης προς το ∆ηµοτικό Συµβούλιο Σερρών για την χρηµατοδότηση της Κ.Ε.∆.Η.Σ., σύµφωνα µε το άρθρο10 του Ν. 4071/2012»</t>
  </si>
  <si>
    <t>Κ.Ε.∆.Η.Σ</t>
  </si>
  <si>
    <t>ΒΛ94Ω10-Λ03</t>
  </si>
  <si>
    <t>Έγκριση ανάθεσης εκπόνησης της µελέτης ΟΡΙΣΤΙΚΗ ΜΕΛΕΤΗ – ΤΕΥΧΗ ∆ΗΜΟΠΡΑΤΗΣΗΣ ΤΟΥ ΕΡΓΟΥ ΑΠΟΚΑΤΑΣΤΑΣΗ ΧΥΤΑ ∆ΗΜΟΥ ΣΕΡΡΩΝ.</t>
  </si>
  <si>
    <t>ΒΛ9ΣΩ10-ΘΜΝ</t>
  </si>
  <si>
    <t>Ενηµέρωση - συζήτηση σχετικά µε την διαδικασία του ανταγωνιστικού διαλόγου για την επιλογή του ιδιωτικού φορέα σύµπραξης(ΙΦΣ) του έργου µε τίτλο: ¨Υλοποίηση µονάδας επεξεργασίας απορριµµάτων Νοµού Σερρών¨.</t>
  </si>
  <si>
    <t>ΒΙΨΒΩ10-Μ3Ρ</t>
  </si>
  <si>
    <t>Ενηµέρωση - συζήτηση σχετικά µε το έργο ¨Αναβάθµιση υποδοµών αυτοκινητοδροµίου και πάρκου κυκλοφοριακής αγωγής ∆ήµου Σερρών¨.</t>
  </si>
  <si>
    <t>ΒΛ93Ω10-ΘΦ8</t>
  </si>
  <si>
    <t>Ανανέωση των συµβάσεων εργασίας ιδιωτικού δικαίου ορισµένου χρόνου, για την υλοποίηση της συγχρηµατοδοτούµενης πράξης «Ανάπτυξη ∆οµών και Υπηρεσιών της Τοπικής Αυτοδιοίκησης προς όφελος των γυναικών και για την καταπολέµηση της βίας – ∆ηµιουργία Κέντρων Συµβουλευτικής Υποστήριξης Γυναικών θυµάτων βίας σε τοπικό επίπεδο στον Άξονα Προτεραιότητας 08» του Ε.Π. «∆ιοικητική Μεταρρύθµιση2007-2013 του ∆ήµου Σερρών».</t>
  </si>
  <si>
    <t>ΒΛΛΟΩ10-ΥΨΙ</t>
  </si>
  <si>
    <t>Έγκριση συµµετοχής του ∆ήµου στην τέταρτη τεχνική συνάντηση του έργου: « Ενεργειακή Αποδοτικότητα στις αστικές εµπορευµατικές µεταφορές(Energy efficiency in City Logistics Services-ENCLOSE)».</t>
  </si>
  <si>
    <t>ΒΛ93Ω10-Α8Ρ</t>
  </si>
  <si>
    <t>Έγκριση υποβολής πρότασης στην 3η Προκήρυξη του Τοπικού Προγράµµατος Προσέγγισης LEADER του Άξονα 4 του Προγράµµατος «ΑΓΡΟΤΙΚΗ ΑΝΑΠΤΥΞΗ ΤΗΣ ΕΛΛΑ∆ΑΣ2007-2013».</t>
  </si>
  <si>
    <t>ΒΛ9ΚΩ10-89Υ</t>
  </si>
  <si>
    <t>∆ιόρθωση της υπ’ αριθµ. 546/2013 Α.∆.Σ. ως προς το όνοµα</t>
  </si>
  <si>
    <t>ΒΕΔ0Ω10-6Β5</t>
  </si>
  <si>
    <t>Εγκριση σχεδιου συμβασης Διαδημοτικης Συνεργασιας για την παροχη υποστηριξης απο την Δ.Τ.Υ. του Δημου Σερρων προς την Δ.Τ.Υ. του Δημου Ηρακλειας.</t>
  </si>
  <si>
    <t>ΒΛ93Ω10-4ΔΩ</t>
  </si>
  <si>
    <t>∆ιατύπωση θετικής γνώµης σχετικά µε την εκµίσθωση δηµοτικής έκτασης για την εγκατάσταση δανειοθαλάµου αδρανών υλικών σε έκταση εµβαδού 40,167 στρ. του αγροκτήµατος Βύσσιανης της Τ.Κ. Λευκώνα του ∆ήµου Σερρών της Π.Ε. Σερρών, στην ΚΞ Τέρνα Α.Ε. – ΑΕΓΕΚ Κατασκευαστική Α.Ε.</t>
  </si>
  <si>
    <t>ΒΛ9ΔΩ10-ΥΛΛ</t>
  </si>
  <si>
    <t>Έγκριση διενέργειας προµήθειας κλιµατιστικού για το Γραφείο Τύπου και ∆ηµοσίων Σχέσεων του ∆ήµου Σερρών.</t>
  </si>
  <si>
    <t>Γρ. Τύπου και ∆ηµοσίων Σχέσεων</t>
  </si>
  <si>
    <t>ΒΛ9ΘΩ10-Χ30</t>
  </si>
  <si>
    <t>Έγκριση µετάθεσης χρόνου παράδοσης έως και τις 30/9/2013, για την «ΠΡΟΜΗΘΕΙΑ ΛΟΓΙΣΜΙΚΟΥ ΑΝΑΒΑΘΜΙΣΗΣ ΤΟΥ ΕΚΠΑΙ∆ΕΥΤΙΚΟΥ ΠΡΟΣΟΜΕΙΩΤΗ Ο∆ΗΓΗΣΗΣ ΜΑΡΚΑΣ FOERST ΤΥΠΟΥ TUTOR&gt;&gt; ΤΟΥ ΑΥΤΟΚΙΝΗΤΟ∆ΡΟΜΙΟΥ ΣΕΡΡΩΝ ΜΕ ΑΡΙΘ. ΣΥΜΒΑΣΗΣ 41039/03-07-2013.</t>
  </si>
  <si>
    <t>ΒΛ93Ω10-8Ο6</t>
  </si>
  <si>
    <t>Μη συνέχιση της διαδικασίας της εκµίσθωσης µε δηµοπρασία τµήµατος του υπ’ αρ. 1574 αγροτεµαχίου του αγροκτήµατος Λευκώνα.</t>
  </si>
  <si>
    <t>ΒΛ90Ω10-ΛΗΧ</t>
  </si>
  <si>
    <t>Έγκριση µεταβίβασης µισθωτικής σχέσης του υπ’ αρ. 18 καταστήµατος του ∆ηµοτικού Μεγάρου.</t>
  </si>
  <si>
    <t>ΒΛ9ΚΩ10-497</t>
  </si>
  <si>
    <t>ΒΛ9ΙΩ10-ΘΙΣ</t>
  </si>
  <si>
    <t>Έγκριση χορήγησης άδειας λειτουργίας ΚΟΛΥΜΒΗΤΙΚΗΣ ∆ΕΞΑΜΕΝΗΣ στον Τσιµπίρη Αλκιβιάδη του Αθανασίου.</t>
  </si>
  <si>
    <t>ΒΛ90Ω10-7Ε1</t>
  </si>
  <si>
    <t>Έγκριση µετακίνησης εκτός έδρας του ∆ηµάρχου Σερρών, κατά τον µήνα Αύγουστο 2013.</t>
  </si>
  <si>
    <t>ΒΛ9ΙΩ10-ΝΧΔ</t>
  </si>
  <si>
    <t>Έγκριση καταβολής εξόδων κίνησης εκτός έδρας των υπαλλήλων µας µε σύµβαση εργασίας ιδιωτικού δικαίου ορισµένου χρόνου, κ.κ. 1) Μερτζιάνη Ειρήνης και2) Κούκου Αντωνίας.</t>
  </si>
  <si>
    <t>ΒΛ9ΔΩ10-Ω0Ι</t>
  </si>
  <si>
    <t>Έγκριση καταβολής εξόδων κίνησης εκτός έδρας των κ.κ. Αθανασιάδη Εµµανουήλ, Πενολίδη Βασίλειου, Κουκούτση Ελένης και Κοκκινίδου Αθηνάς, υπαλλήλων του ∆ήµου µας.</t>
  </si>
  <si>
    <t>ΒΕΔ0Ω10-Α8Ω</t>
  </si>
  <si>
    <t>Εγκριση σχεδιου συμβασης Διαδημοτικης Συνεργασιας για την παροχη υποστηριξης απο την Δ.Τ.Υ. του Δημου Σερρων προς την Δ.Τ.Υ. του Δημου Νεας Ζιχνης.</t>
  </si>
  <si>
    <t>ΒΛ9ΙΩ10-ΚΕΛ</t>
  </si>
  <si>
    <t>Έγκριση καταβολής εξόδων κίνησης εκτός έδρας των υπαλλήλων µας κ.κ.: Παπαδίκη Νικόλαου, Παπακωνσταντίνου Μαρίας και Μίκικη Φωτεινής.</t>
  </si>
  <si>
    <t>ΒΛ9ΙΩ10-9ΣΡ</t>
  </si>
  <si>
    <t>Έγκριση καταβολής εξόδων κίνησης εκτός έδρας των υπαλλήλων µας κ.κ.: Πάλλα Χρήστου και Βαρναλίδου Ελένης.</t>
  </si>
  <si>
    <t>ΒΛ9ΞΩ10-ΠΦΨ</t>
  </si>
  <si>
    <t>Αποδοχή ψηφίσµατος σε ένδειξη συµπαράστασης στους εκπαιδευτικούς του Ν. Σερρών που βρίσκονται σε διαθεσιµότητα.</t>
  </si>
  <si>
    <t>Προεδρςς ΔΣ</t>
  </si>
  <si>
    <t>ΒΛ9ΚΩ10-ΗΤΥ</t>
  </si>
  <si>
    <t>Έγκριση µεταστέγασης των 1ου, 9ου, 19ου(ολοήµερο τµήµα), 19ου και 34ου Νηπιαγωγείων, σε ιδιόκτητα κτήρια του ∆ήµου Σερρών στο ορφανοτροφείο και στην περιοχή Σιγής.</t>
  </si>
  <si>
    <t>ΒΛ9ΑΩ10-1ΣΓ</t>
  </si>
  <si>
    <t>Συγκρότηση τριµελούς επιτροπής παραλαβής της προµήθειας µέσων ατοµικής προστασίας, κατά τις διατάξεις του άρθρου 28 του ΕΚΠΟΤΑ.</t>
  </si>
  <si>
    <t>ΒΛΛ4Ω10-5ΤΚ</t>
  </si>
  <si>
    <t>Έγκριση συµµετοχής εκπροσώπων του ∆ήµου Σερρών στην 2η Πολιτιστική Εκδήλωση (2nd Cultural Event), 27-28 Σεπτεµβρίου2013, στην περιοχή Konce (της πρώην Γιουγκοσλαβικής ∆ηµοκρατίας της Μακεδονίας) στο πλαίσιο της πράξης “Προώθηση της πολιτιστικής κληρονοµιάς των Βλάχων στις περιοχές των Σερρών και Konce” (µε ακρωνύµιο Prom-Cult) από το IPA Πρόγραµµα ∆ιασυνοριακής Συνεργασίας“Ελλάδα– Πρώην Γιουγκοσλαβική ∆ηµοκρατία της Μακεδονίας 2007-2013”</t>
  </si>
  <si>
    <t>ΒΛΕΖΩ10-ΒΜΑ</t>
  </si>
  <si>
    <t>Έγκριση συµµετοχής εκπροσώπων του ∆ήµου Σερρών στην Τελική Εκδήλωση (final event), στις 23 Σεπτεµβρίου 2013, στο Petrich της Βουλγαρίας στο πλαίσιο της πράξης «Προώθηση της ασφαλούς κυκλοφοριακής συνείδησης σε τοπικό επίπεδο στη διασυνοριακή περιοχή Ελλάδας – Βουλγαρίας (µε ακρωνύµιο Promo Safe Driving)» που χρηµατοδοτείται από το Πρόγραµµα Ευρωπαϊκής Εδαφικής Συνεργασίας ΕΛΛΑ∆Α– ΒΟΥΛΓΑΡΙΑ(2007 – 2013).</t>
  </si>
  <si>
    <t>ΒΛΛ4Ω10-ΘΥΒ</t>
  </si>
  <si>
    <t>Έγκριση 3ης Τροποποίησης στην υλοποίηση της πράξης «Προώθηση της ασφαλούς κυκλοφοριακής συνείδησης σε τοπικό επίπεδο στη διασυνοριακή περιοχή Ελλάδας Βουλγαρίας» (PROMO SAFE DRIVING)» (που χρηµατοδοτείται από το Πρόγραµµα Ευρωπαϊκής Εδαφικής Συνεργασίας ΕΛΛΑ∆Α ΒΟΥΛΓΑΡΙΑ 2007-2013), όσον αφορά την προθεσµία ολοκλήρωσής της.</t>
  </si>
  <si>
    <t>ΒΛΛΟΩ10-2ΙΨ</t>
  </si>
  <si>
    <t>Τροποποίηση της αριθµ. 787/2012 απόφασης ∆ηµοτικού Συµβουλίου και ανανέωση της σύµβασης εργασίας ιδιωτικού δικαίου ορισµένου χρόνου, για την υλοποίηση της πράξης «Προώθηση της ασφαλούς κυκλοφοριακής συνείδησης σε τοπικό επίπεδο στη διασυνοριακή περιοχή Ελλάδας Βουλγαρίας (PROMO SAFE DRIVING)» (που χρηµατοδοτείται από το Πρόγραµµα Ευρωπαϊκής Εδαφικής Συνεργασίας ΕΛΛΑ∆Α ΒΟΥΛΓΑΡΙΑ 2007-2013) του ∆ήµου Σερρών, για το χρονικό διάστηµα από 1/10/2013 έως και 31/12/2013</t>
  </si>
  <si>
    <t>ΒΛ9ΑΩ10-Λ4Κ</t>
  </si>
  <si>
    <t>Έγκριση πρακτικού 1o της επιτροπής επίλυσης δια συµβιβασµού φορολογικών διαφορών και αµφισβητήσεων, του άρθ. 32 του Ν. 1080/80, σχετικά µε την προσφυγή της ΣΠΛΗΝΑ ΦΩΤΕΙΝΗΣ του ΚΩΝ/ΝΟΥ (ΚΑΦΕ ΜΕΛΙ ΓΑΛΑ).</t>
  </si>
  <si>
    <t>ΒΕΤ9Ω10-ΣΞΓ</t>
  </si>
  <si>
    <t>Εγκριση προσληψης προσωπικου με σχεση εργασιας ιδιωτικου δικαιου για την υλοποιηση του Ευρωπαικου εργου «Ενεργειακη αποδοτικοτητα στις αστικες εμπορευματικες μεταφορες(ακρωνυμο ENCLOSE)».</t>
  </si>
  <si>
    <t>Τμημα Κυκλοφοριακου Σχεδιασμου και Συγκοινωνιας</t>
  </si>
  <si>
    <t>ΒΛ9ΑΩ10-ΨΒΚ</t>
  </si>
  <si>
    <t>Έγκριση 2ου πρακτικού της επιτροπής επίλυσης δια συµβιβασµού φορολογικών διαφορών και αµφισβητήσεων, του άρθ. 32 του Ν. 1080/80, σχετικά µε την προσφυγή της ΣΠΛΗΝΑ ΦΩΤΕΙΝΗΣ του ΚΩΝ/ΝΟΥ (ΚΑΦΕ ΜΕΛΙ-ΓΑΛΑ).</t>
  </si>
  <si>
    <t>ΒΛ9ΑΩ10-8Ω0</t>
  </si>
  <si>
    <t>Έγκριση 3ου πρακτικού της επιτροπής επίλυσης δια συµβιβασµού φορολογικών διαφορών και αµφισβητήσεων, του άρθ. 32 του Ν. 1080/80, σχετικά µε την προσφυγή της εταιρείας «Ι. ΖΑΡΑΦΙ∆ΗΣ – Μ. ΧΑΤΖΗΠΑΖΑΡΛΗΣ Ο.Ε.» (Ψητοπωλείο– Οβελιστήριο Ο ΒΛΑΧΟΣ).</t>
  </si>
  <si>
    <t>ΒΛ9ΣΩ10-3ΣΟ</t>
  </si>
  <si>
    <t>Έγκριση της αριθµ. 144 / 2013 απόφασης του ∆.Σ του Ν.Π.∆.∆. του ∆ήµου Σερρών µε την Επωνυµία«Οργανισµός Προσχολικής Αγωγής, Κοινωνικής Πολιτικής και Αθλητισµού ∆ήµου Σερρών», µε θέµα: ¨Έγκριση Προϋπολογισµού2014 Κληροδοτήµατος Τσιάγκα Κων/νου¨.</t>
  </si>
  <si>
    <t>Ν.Π.∆.∆.</t>
  </si>
  <si>
    <t>ΒΛ9ΣΩ10-Κ15</t>
  </si>
  <si>
    <t>Έγκριση της αριθµ. 145 / 2013 απόφασης του ∆.Σ του Ν.Π.∆.∆. του ∆ήµου Σερρών µε την Επωνυµία«Οργανισµός Προσχολικής Αγωγής, Κοινωνικής Πολιτικής και Αθλητισµού ∆ήµου Σερρών», µε θέµα: ¨Έγκριση Προϋπολογισµού2014 Κληροδοτήµατος Αφροδίτης Σιόλα¨.</t>
  </si>
  <si>
    <t>ΒΛΕΖΩ10-ΟΟΛ</t>
  </si>
  <si>
    <t>Έγκριση της αρ. 192 / 2013 απόφασης του ∆/κού Συµβουλίου της «Κ.Ε.∆Η.Σ.», περί &lt;Αναµόρφωση προϋπολογισµού της Κ.Ε.∆.Η.Σ., χρήσης2013&gt;.</t>
  </si>
  <si>
    <t>ΒΛ9ΣΩ10-0ΒΝ</t>
  </si>
  <si>
    <t>Έγκριση της υπ’ αριθµ. 60/2013 απόφασης της Επιτροπής Ποιότητας Ζωής, που αφορά την Έκθεση Πεπραγµένων της έτους 2012.</t>
  </si>
  <si>
    <t>κ. Νούνη Βασιλικής</t>
  </si>
  <si>
    <t>Επιτροπής Ποιότητας Ζωής</t>
  </si>
  <si>
    <t>ΒΛΛ4Ω10-Ν6Ψ</t>
  </si>
  <si>
    <t>Μη έγκριση ανταλλαγής έκτασης ιδιοκτησίας των κ.κ. Φώτογλου Χαράλαµπου, ∆ηµητριάδη Αναστάσιου &amp; κλ. Χεριστανίδη Ε., µε δηµοτική έκταση.</t>
  </si>
  <si>
    <t>ΒΛΛ1Ω10-ΦΝ7</t>
  </si>
  <si>
    <t>Καθορισµός του ύψους, της διαδικασίας και του τρόπου καταβολής και είσπραξης του ηµερήσιου ανταποδοτικού τέλους από τους προσερχόµενους στους χώρους των Λαϊκών Αγορών του ∆ήµου, πωλητές (επαγγελµατίες– παραγωγούς).</t>
  </si>
  <si>
    <t>Τµήµατος Αγροτικής και Κτηνοτροφικής Παραγωγής και Αλιείας</t>
  </si>
  <si>
    <t>ΒΛ9ΣΩ10-33Ω</t>
  </si>
  <si>
    <t>Έγκριση συντήρησης, επισκευής φωτοτυπικών µηχανηµάτων του ∆ήµου Σερρών.</t>
  </si>
  <si>
    <t>ΒΛ9ΑΩ10-ΤΔΝ</t>
  </si>
  <si>
    <t>Έγκριση κοπής και αποµάκρυνσης εκριζωθέντος δένδρου και διάθεση σχετικής πίστωσης.</t>
  </si>
  <si>
    <t>ΒΕΔ0Ω10-Ζ4Θ</t>
  </si>
  <si>
    <t>Συνεχιση της «Εφαρμογης ολοκληρωμενου προγραμματος εναλλακτικης διαχειρισης Αποβλητων Ηλεκτρονικου και Ηλεκτρονικου Εξοπλισμου (ΑΗΗΕ)» και εγκριση συναψης Συμβασης μεταξυ Δημου Σερρων και της εταιρειας «ΑΝΑΚΥΚΛΩΣΗ ΣΥΣΚΕΥΩΝ Α.Ε.» προς το σκοπο οργανωσης συστηματος συλλογης Αποβλητων Ηλεκτρικου και Ηλεκτρονικου Εξοπλισμου(ΑΗΗΕ).</t>
  </si>
  <si>
    <t>Τμημα Περιβαλλοντος</t>
  </si>
  <si>
    <t>ΒΛ9ΣΩ10-ΑΔΓ</t>
  </si>
  <si>
    <t>Αναµόρφωση πιστώσεων εγκεκριµένου προϋπολογισµού οικ. έτους 2013 για την αποδοχή χρηµατοδότησης από ΚΑΠ 2013 για την κάλυψη λειτουργικών δαπανών σχολείων και για την κάλυψη δαπάνης υλοποίησης του θεσµού σχολικού τροχονόµου.</t>
  </si>
  <si>
    <t>ΒΛΛΩΩ10-ΟΩ0</t>
  </si>
  <si>
    <t>Αναµόρφωση πιστώσεων εγκεκριµένου προϋπολογισµού οικ. έτους 2013 για την αποδοχή της χρηµατοδότησης για την εξόφληση πάσης φύσεως οφειλών του Ελληνικού ∆ηµοσίου(43533/2012 Απόφαση ΥΠΕΣ) συνολικού ποσού 218.892,10 €.</t>
  </si>
  <si>
    <t>ΒΛΛ6Ω10-ΡΞΨ</t>
  </si>
  <si>
    <t>Αναµόρφωση πιστώσεων εγκεκριµένου προϋπολογισµού οικ. έτους 2013 για την αποδοχή της χορήγησης προκαταβολής έναντι εσόδων από τους ΚΑΠ για την αντιµετώπιση επιτακτικών αναγκών συνολικού ποσού 200.000,00 €.</t>
  </si>
  <si>
    <t>ΒΛΛ6Ω10-Η75</t>
  </si>
  <si>
    <t>Αναµόρφωση πιστώσεων εγκεκριµένου προϋπολογισµού οικ. έτους 2013 για την ενίσχυση κωδικών που αφορούν το αντίτιµο ηλεκτρικού ρεύµατος και διάφορες κρατήσεις(αναµόρφωση 112/2013).</t>
  </si>
  <si>
    <t>ΒΛΛ6Ω10-8ΨΥ</t>
  </si>
  <si>
    <t>Αναµόρφωση πιστώσεων εγκεκριµένου προϋπολογισµού οικ. έτους 2013 για την ενίσχυση κωδικών που αφορούν διάφορες κρατήσεις(αναµόρφωση 106/2013).</t>
  </si>
  <si>
    <t>ΒΛΕΖΩ10-ΜΨΕ</t>
  </si>
  <si>
    <t>Έγκριση τροποποίησης Τεχνικού Προγράµµατος για την παροχή υπηρεσιών ωρίµανσης της πράξης «Πρότυπη πράσινη Αγροκτηνοτροφική Κοινότητα Ελαιώνα ∆ήµου Σερρών» κ.λ.π.</t>
  </si>
  <si>
    <t>ΒΛΛΠΩ10-ΩΤ1</t>
  </si>
  <si>
    <t>Έγκριση τροποποίησης ετήσιου προγράµµατος δράσης και µεταφορά αδιάθετων πιστώσεων ΣΑΤΑ 2011.</t>
  </si>
  <si>
    <t>ΒΛΛΚΩ10-Δ25</t>
  </si>
  <si>
    <t>Έγκριση µελέτης του έργου: ¨∆ιάφορες επισκευές- κατασκευές στο Ειδικό Σχολείο, 4ο ∆ηµοτικό Σχολείο, Μουσικό Σχολείο και 3ο Νηπιαγωγείο Σερρών¨, πρ/σµού12.000,00 €.</t>
  </si>
  <si>
    <t>ΒΛΛΚΩ10-ΡΘ2</t>
  </si>
  <si>
    <t>Έγκριση µελέτης του έργου: ¨Επισκευές- συντηρήσεις- ανακατασκευές στα W.C. του 15ου &amp; 21ου ∆ηµοτικών Σχολείων Σερρών και 13ου &amp; 20ου Νηπιαγωγείων Σερρών¨, πρ/σµού 12.200,00 €.</t>
  </si>
  <si>
    <t>ΒΛΕΖΩ10-ΟΟΩ</t>
  </si>
  <si>
    <t>Έγκριση Προϋπολογιστικού Πίνακα και τεχνικής περιγραφής των εργασιών ¨Κατασκευή ψευδοροφής στο 1ο, 3ο και 4ο ΕΠΑΛ– ΕΠΑΣ Σερρών¨.</t>
  </si>
  <si>
    <t>ΒΕΔΓΩ10-ΥΕ6</t>
  </si>
  <si>
    <t>Εγκριση τροποποιησης φυσικου αντικειμενου της πραξης:«Τεχνικη Υποστηριξει του Δημου Σερρων».</t>
  </si>
  <si>
    <t>Τμημα Προγραμματισμου</t>
  </si>
  <si>
    <t>ΒΛ9ΝΩ10-06Α</t>
  </si>
  <si>
    <t>Έγκριση Προϋπολογιστικού Πίνακα και τεχνικής περιγραφής των εργασιών ¨Ανακατασκευή δαπέδου στο Γυµνάσιο Λευκώνα¨.</t>
  </si>
  <si>
    <t>ΒΛΕΖΩ10-27Ν</t>
  </si>
  <si>
    <t>Έγκριση Προϋπολογιστικού Πίνακα και τεχνικής περιγραφής του έργου: ¨Κατασκευή χώρου αρχείου της Πολεοδοµίας στο αµαξοστάσιο του ∆ήµου Σερρών¨.</t>
  </si>
  <si>
    <t>ΒΛΛΠΩ10-0ΜΜ</t>
  </si>
  <si>
    <t>Έγκριση Προϋπολογιστικού Πίνακα και τεχνικής περιγραφής των εργασιών ¨Πλακόστρωση αύλειου χώρου κοινοτικού καταστήµατος και κοινοτικού ιατρείου Κουβουκλίων¨.</t>
  </si>
  <si>
    <t>ΒΛΛΟΩ10-Θ0Ν</t>
  </si>
  <si>
    <t>Έγκριση 1ου ΑΠΕ του έργου: « Συντηρήσεις δρόµων Τ.Κ. Άνω Βροντούς».</t>
  </si>
  <si>
    <t>ΒΛΛΟΩ10-Ρ60</t>
  </si>
  <si>
    <t>Έγκριση έκδοσης άδειας λειτουργίας επιχείρησης προσφοράς υπηρεσιών διαδικτύου, σε «ΚΑΦΕΤΕΡΙΑ-ΙΝΤΕΡΝΕΤ» του Κουρτέση ∆ηµητρίου του Αλεξάνδρου.</t>
  </si>
  <si>
    <t>Γραφείου εκδόσεως αδειών καταστηµάτων της ∆.Ε. Καπ. Μητρούση</t>
  </si>
  <si>
    <t>ΒΛ9ΑΩ10-ΣΛΣ</t>
  </si>
  <si>
    <t>Έγκριση µετακίνησης εκτός έδρας του ∆ηµάρχου Σερρών, κατά τον µήνα Σεπτέµβριο 2013.</t>
  </si>
  <si>
    <t>ΒΛ9ΣΩ10-ΡΒΜ</t>
  </si>
  <si>
    <t>Έγκριση καταβολής εξόδων κίνησης εκτός έδρας του κ. ∆ηµάρχου από τις 22 έως και τις 23 Αυγούστου2013.</t>
  </si>
  <si>
    <t>ΒΛ9ΣΩ10-ΝΜΣ</t>
  </si>
  <si>
    <t>Έγκριση καταβολής εξόδων κίνησης εκτός έδρας του κ. ∆ηµάρχου από τις 4 έως και τις 6 Σεπτεµβρίου2013.</t>
  </si>
  <si>
    <t>ΒΛ9ΑΩ10-06Κ</t>
  </si>
  <si>
    <t>Έγκριση καταβολής εξόδων κίνησης εκτός έδρας των υπαλλήλων του ∆ήµου, κατά τον µήνα Ιούλιο 2013.</t>
  </si>
  <si>
    <t>ΒΛ9ΑΩ10-ΟΝΑ</t>
  </si>
  <si>
    <t>Έγκριση καταβολής εξόδων κίνησης εκτός έδρας των υπαλλήλων του ∆ήµου, κατά τον µήνα Αύγουστο 2013.</t>
  </si>
  <si>
    <t>ΒΛΛ5Ω10-ΒΙΥ</t>
  </si>
  <si>
    <t>Γνωμοδοτηση για ορισμο των οικισμων Ξηροτοπου και Κατω Μετοχιου ως Τοπικων Κοινοτητων του Δημου Σερρων</t>
  </si>
  <si>
    <t>Τμημα Δ/κων Διαδικασιων</t>
  </si>
  <si>
    <t>ΒΛ9ΣΩ10-Υ5Ο</t>
  </si>
  <si>
    <t>Έγκριση καταβολής εξόδων κίνησης εκτός έδρας των υπαλλήλων κ.κ. Βασιλοπούλου Ειρήνης, Κοκκινίδου Αθηνάς, Ζδούµπα Θεοδώρας, Τζίνη Κυριακής και Καραγκιόζη Χρήστου.</t>
  </si>
  <si>
    <t>ΒΛ9ΑΩ10-ΧΛ3</t>
  </si>
  <si>
    <t>Έκδοση ψηφίσµατος για την δολοφονία του Παύλου Φύσσα.</t>
  </si>
  <si>
    <t>ΒΛΕΖΩ10-8Χ7</t>
  </si>
  <si>
    <t>Έγκριση σύναψης προγραµµατικής σύµβασης µεταξύ ∆ήµου Σερρών και Εθνικού Μετσόβιου Πολυτεχνείου για τη ¨διερεύνηση αποκατάστασης ασφαλτοτάπητα κυκλοφορίας αυτοκινητοδροµίου¨.</t>
  </si>
  <si>
    <t>ΒΛ9ΑΩ10-ΝΜ8</t>
  </si>
  <si>
    <t>Έκδοση ψηφίσµατος συµπαράστασης στον Σύλλογο Υγειονοµικών Υπαλλήλων Ε.Ο.Π.Υ.Υ. Σερρών.</t>
  </si>
  <si>
    <t>ΒΛΛΚΩ10-ΙΑΨ</t>
  </si>
  <si>
    <t>Έγκριση δαπανών και διάθεση σχετικής πίστωσης για τη διοργάνωση εκδηλώσεως για την υποδοχή των φοιτητών στην πόλη των Σερρών για το έτος 2013.</t>
  </si>
  <si>
    <t>ΒΛΕΖΩ10-ΩΛΝ</t>
  </si>
  <si>
    <t>Σχετικά µε τις οφειλές δηµοτών προς το ∆ήµο Σερρών.</t>
  </si>
  <si>
    <t>κ. Στέργιου Γαλάνη</t>
  </si>
  <si>
    <t>∆/κών- Οικονοµικών Λειτουργιών Ηλεκτρ. ∆ιακυβ. &amp; ∆ιαφάνειας</t>
  </si>
  <si>
    <t>ΒΛΛ1Ω10-4ΟΦ</t>
  </si>
  <si>
    <t>Έγκριση σχεδίου σύµβασης ∆ιαδηµοτικής Συνεργασίας για την παροχή υποστήριξης από την Υπηρεσία ∆όµησης (Υ.∆ΟΜ.) του ∆ήµου Σερρών προς τον ∆ήµο Βισαλτίας.</t>
  </si>
  <si>
    <t>ΒΛ1ΠΩ10-ΨΒΞ</t>
  </si>
  <si>
    <t>Τροποποίηση της αριθµ. 308/2013 Α.∆.Σ. περί¨Συγκρότησης της ∆ηµοτικής Επιτροπής ∆ιαβούλευσης του ∆ήµου Σερρών¨.</t>
  </si>
  <si>
    <t>ΒΙΡΤΩ10-ΣΛΤ</t>
  </si>
  <si>
    <t>Έγκριση πραγµατοποίησης Τεχνικών Συναντήσεων και συνεδρίου στις Σέρρες και έγκριση συµµετοχής στη Τεχνικής Συνάντηση και στο Εργαστήριο (Workshop) στο Petrich, Βουλγαρίας του έργου «Sports for all» (που χρηµατοδοτείται από την Πρόγραµµα Ευρωπαϊκής Εδαφικής Συνεργασίας ΕΛΛΑ∆Α-ΒΟΥΛΓΑΡΙΑ 2007-2013».</t>
  </si>
  <si>
    <t>ΒΛΛΘΩ10-3ΕΒ</t>
  </si>
  <si>
    <t>Αποδοχή και ταυτόχρονη επιστροφή στο Πρόγραµµα ∆ηµοσίων Επενδύσεων και στο ∆ήµοPetrich της Κοινοτικής Συνδροµής του έργουPROMO SAFE DRIVING που χρηµατοδοτείται από το Πρόγραµµα Ευρωπαϊκής Εδαφικής Συνεργασίας ΕΛΛΑ∆Α ΒΟΥΛΓΑΡΙΑ 2007-2013 (85% Κοινοτική Συµµετοχή, 15% Εθνική Συµµετοχή) (∆ΑΠΑΝΕΣ ΑΠΌ1/1/2013 ΜΕΧΡΙ30/6/2013).</t>
  </si>
  <si>
    <t>ΒΛΛΞΩ10-ΘΥΛ</t>
  </si>
  <si>
    <t>Αποδοχή χρηµατοδότησης για την υλοποίηση δύο νέων υποέργων της πράξης: « Ολοκληρωµένες αστικές αναπλάσεις των οδικών αξόνων ∆ήµου Σερρών», ποσού 16.650,94 € από το Ε.Π. « Μακεδονία-Θράκη» και έγκριση υλοποίησης αυτών.</t>
  </si>
  <si>
    <t>ΒΕΤΩΩ10-3ΑΗ</t>
  </si>
  <si>
    <t>Εγκριση εκθεσης εσοδων-εξοδων Γ' Τριμηνου 2012 για τον ελεγχο υλοποιησης του προυπολογισμου του Δημου Σερρων οικονομικου ετους 2012.</t>
  </si>
  <si>
    <t>ΒΛΛΞΩ10-ΑΨΓ</t>
  </si>
  <si>
    <t>Έγκριση παράτασης συνολικής προθεσµίας εργασιών του έργου: «Ολοκληρωµένες αστικές αναπλάσεις οδικών αξόνων ∆ήµου Σερρών».</t>
  </si>
  <si>
    <t>ΒΛΛ0Ω10-ΒΕΨ</t>
  </si>
  <si>
    <t>Έγκριση ψήφισης πίστωσης για την κάλυψη δαπανών για τον εορτασµό των Χριστουγέννων 2012, της Πρωτοχρονιάς 2013 και Θεοφανείων 2013.</t>
  </si>
  <si>
    <t>ΒΛΛΥΩ10-0ΩΕ</t>
  </si>
  <si>
    <t>ΒΛ1ΠΩ10-ΨΓΧ</t>
  </si>
  <si>
    <t>ΒΛ1ΠΩ10-ΜΚΗ</t>
  </si>
  <si>
    <t>ΒΛ1ΟΩ10-3ΟΜ</t>
  </si>
  <si>
    <t>Έγκριση της υπ΄ αριθµ. 128/2013 απόφασης του ∆.Σ. του Ν.Π. του ∆ήµου Σερρών µε την επωνυµία «Οργανισµός Προσχολικής Αγωγής, Κοινωνικής Πολιτικής και Αθλητισµού ∆ήµου Σερρών», µε θέµα: ¨Έγκριση εγγραφών νηπίων-βρεφών στα τµήµατα του Ν.Π. για το έτος 2013-2014 µέσω του προγράµµατος της Ε.Ε.Τ.Α.Α. («Εναρµόνιση Οικογενειακής και επαγγελµατικής ζωής» περίοδος 2013-2014 Πρόσκληση 1360/19-06-2013)¨.</t>
  </si>
  <si>
    <t>ΒΛ1ΟΩ10-ΡΞΘ</t>
  </si>
  <si>
    <t>Έγκριση της υπ΄ αριθµ. 129/2013 απόφασης του ∆.Σ. του Ν.Π. του ∆ήµου Σερρών µε την επωνυµία «Οργανισµός Προσχολικής Αγωγής, Κοινωνικής Πολιτικής και Αθλητισµού ∆ήµου Σερρών», µε θέµα: ¨Έγκριση εγγραφών νηπίων-βρεφών στα τµήµατα των Περιφερειακών Παιδικών Σταθµών του Ν.Π. για το έτος 2013-2014¨.</t>
  </si>
  <si>
    <t>ΒΛ1ΟΩ10-2ΧΞ</t>
  </si>
  <si>
    <t>Έγκριση της υπ΄ αριθµ. 132/2013 απόφασης του ∆.Σ. του Ν.Π. του ∆ήµου Σερρών µε την επωνυµία «Οργανισµός Προσχολικής Αγωγής, Κοινωνικής Πολιτικής και Αθλητισµού ∆ήµου Σερρών», µε θέµα: ¨Έγκριση εγγραφών νηπίων-βρεφών στα τµήµατα των Παιδικών Σταθµών του Ν.Π. (πόλη των Σερρών) για το έτος 2013-2014¨.</t>
  </si>
  <si>
    <t>ΒΛΛ1Ω10-ΚΞΨ</t>
  </si>
  <si>
    <t>Έγκριση της αριθµ. 146 / 2013 απόφασης του ∆.Σ του Ν.Π.∆.∆. του ∆ήµου Σερρών µε την Επωνυµία&lt;Οργανισµός Προσχολικής Αγωγής, Κοινωνικής Πολιτικής και Αθλητισµού ∆ήµου Σερρών&gt;, µε θέµα: « Έγκριση Τροποποίησης του Οργανισµού Εσωτερικής Υπηρεσίας του ΝΠ∆∆».</t>
  </si>
  <si>
    <t>ΒΛ1ΒΩ10-ΒΤΑ</t>
  </si>
  <si>
    <t>Έγκριση της αρ. 158 / 2013 απόφασης του ∆/κού Συµβουλίου του Ν.Π.∆.∆. του ∆ήµου Σερρών µε την επωνυµία « Οργανισµός Προσχολικής Αγωγής, Κοινωνικής Πολιτικής και Αθλητισµού ∆ήµου Σερρών», µε θέµα: «Έγκριση προσχεδίου προϋπολογισµού εσόδων-εξόδων του ΝΠ∆∆&lt;ΟΠΑΚΠΑ&gt;, για το οικονοµικού έτος 2014».</t>
  </si>
  <si>
    <t>ΒΕΤΩΩ10-Β2Ρ</t>
  </si>
  <si>
    <t>Εγκριση εκθεσης εσοδων - εξοδων Δ' Τριμηνου 2012 για τον ελεγχο υλοποιησης του προυπολογισμου του Δημου Σερρων οικονομικου ετους 2012.</t>
  </si>
  <si>
    <t>ΒΛΛΚΩ10-ΝΧΘ</t>
  </si>
  <si>
    <t>Έγκριση διενέργειας προµήθειας εφαρµογών λογισµικού.</t>
  </si>
  <si>
    <t>ΒΛΛΚΩ10-6Τ9</t>
  </si>
  <si>
    <t>Έγκριση διενέργειας προµήθειας σάκων απορριµµάτων.</t>
  </si>
  <si>
    <t>ΒΛΛΞΩ10-ΞΝΕ</t>
  </si>
  <si>
    <t>Έγκριση διενέργειας προµηθειών: 1.α) Aντικατάστασης εξαρτηµάτων κ. θέρµανσης στην Τ.Κ. Αγίας Ελένης, β) Ηλεκτροκινητήρα του κοµφλέρ της Τ.Κ. Βροντούς, 2. Aκρυλικού τσιµεντοχρώµατος (χρώµα λευκό και κεραµιδή) για την βελτίωση της καλαισθησίας και της αισθητικής των πεζοδροµίων Ιακώβου Ορεινού και ενός τµήµατος της οδού Τσιµισκή, 3. Μιας σόµπας αλογόνου τεσσάρων λαµπών µε υγραντήρα και βεντιλαντέρ για την θέρµανση του ειδικού γραφείου συσκέψεων της αντιπολίτευσης, 4. Ενός δραπανοκατσάβιδου και δύο µπαταριών</t>
  </si>
  <si>
    <t>ΒΛΛΚΩ10-ΛΟ4</t>
  </si>
  <si>
    <t>Έγκριση διενέργειας προµήθειας αλατιού αποχιονισµού οδικών δικτύων, έτους 2013</t>
  </si>
  <si>
    <t>ΒΛΛ1Ω10-Τ7Φ</t>
  </si>
  <si>
    <t>Αναµόρφωση πιστώσεων εγκεκριµένου προϋπολογισµού οικονοµικού έτους 2013 για την ενίσχυση κωδικών που αφορούν διάφορες κρατήσεις (αναµόρφωση97/2013).</t>
  </si>
  <si>
    <t>ΒΛΛΗΩ10-98Κ</t>
  </si>
  <si>
    <t>Αναµόρφωση πιστώσεων εγκεκριµένου προϋπολογισµού οικονοµικού έτους 2013 για την ενίσχυση κωδικών που αφορούν διάφορες κρατήσεις (αναµόρφωση128/2013).</t>
  </si>
  <si>
    <t>ΒΛΛ0Ω10-ΩΧΞ</t>
  </si>
  <si>
    <t>Αναµόρφωση πιστώσεων εγκεκριµένου προϋπολογισµού οικονοµικού έτους 2013 για την ενίσχυση κωδικών που αφορούν διάφορες κρατήσεις (αναµόρφωση129/2013).</t>
  </si>
  <si>
    <t>ΒΛΛΙΩ10-Α7Χ</t>
  </si>
  <si>
    <t>Αναµόρφωση πιστώσεων εγκεκριµένου προϋπολογισµού οικονοµικού έτους 2013 για την ενίσχυση του Κ.Α. 00.6221.001 που φέρει την ένδειξη: ¨Ταχυδροµικά τέλη¨.</t>
  </si>
  <si>
    <t>ΒΛΛ1Ω10-ΨΚ2</t>
  </si>
  <si>
    <t>Αναµόρφωση πιστώσεων εγκεκριµένου προϋπολογισµού οικονοµικού έτους 2013 για την κάλυψη της δαπάνης για την παροχή υπηρεσιών ιατρού εργασίας και τεχνικού ασφαλείας.</t>
  </si>
  <si>
    <t>∆/ντή ∆ιοικητικού-Οικονοµικού</t>
  </si>
  <si>
    <t>ΒΛΛΘΩ10-8ΔΤ</t>
  </si>
  <si>
    <t>Έγκριση 2ης µετάθεσης χρόνου παράδοσης έως και τις 31/10/2013, για την «ΠΡΟΜΗΘΕΙΑ ΛΟΓΙΣΜΙΚΟΥ ΑΝΑΒΑΘΜΙΣΗΣ ΤΟΥ ΕΚΠΑΙ∆ΕΥΤΙΚΟΥ ΠΡΟΣΟΜΟΙΩΤΗ Ο∆ΗΓΗΣΗΣ ΜΑΡΚΑΣ FOERST ΤΎΠΟΥ TUTOR» ΤΟΥ ΑΥΤΟΚΙΝΗΤΟ∆ΡΟΜΙΟΥ ΣΕΡΡΩΝ ΜΕ ΑΡΙΘ. ΣΥΜΒΑΣΗΣ 41039/03-07-2013.</t>
  </si>
  <si>
    <t>ΒΕΤ9Ω10-ΙΡ6</t>
  </si>
  <si>
    <t>Εγκριση εκμισθωσης ακινητου για τις αναγκες στεγασης του ΔΗ.ΠΕ.ΘΕ. Σερρων.</t>
  </si>
  <si>
    <t>Τμημα Προσοδων και Δημοσιας Περιουσιας</t>
  </si>
  <si>
    <t>ΒΛΛΗΩ10-Γ9Ν</t>
  </si>
  <si>
    <t>Αποδοχή χρηµατοδότησης για την υλοποίηση της πράξης « Παρεµβάσεις Εξοικονόµησης Ενέργειας στο υφιστάµενο κτιριακό δυναµικό του ∆ήµου Σερρών» ποσού 279.373.50 € από το Υπουργείο Περιβάλλοντος, Ενέργειας και Κλιµατικής Αλλαγής και έγκριση υλοποίησης αυτής.</t>
  </si>
  <si>
    <t>ΒΛ10Ω10-ΤΟΑ</t>
  </si>
  <si>
    <t>Μη έγκριση διάθεσης ποσοστού από το ηµερήσιο ανταποδοτικό τέλος Λαϊκών Αγορών, για την κάλυψη λειτουργικών αναγκών τους και τον εκσυγχρονισµό και την προβολή των Λαϊκών Αγορών.</t>
  </si>
  <si>
    <t>Tµήµατος Αγρ. &amp; Κτηνοτρ. Παραγωγής&amp; Αλιείας</t>
  </si>
  <si>
    <t>ΒΛΛΙΩ10-860</t>
  </si>
  <si>
    <t>Συγκρότηση τριµελούς επιτροπής «ΕΠΙΤΡΟΠΗ ΚΑΤΑΣΤΗΜΑΤΩΝ ΥΓΕΙΟΝΟΜΙΚΟΥ ΕΝ∆ΙΑΦΕΡΟΝΤΟΣ &amp; ΤΗΡΗΣΗΣ ΤΩΝ ΥΓΕΙΟΝΟΜΙΚΩΝ ∆ΙΑΤΑΞΕΩΝ ΑΣΤΙΚΟΥ ΚΑΙ ΠΕΡΙΑΣΤΙΚΟΥ ΧΩΡΟΥ».</t>
  </si>
  <si>
    <t>ΒΛΛΘΩ10-4ΙΚ</t>
  </si>
  <si>
    <t>Συγκρότηση τριµελούς επιτροπής «ΕΠΙΤΡΟΠΗ ΣΦΡΑΓΙΣΗΣ- ΑΠΟΣΦΡΑΓΙΣΗΣ ΚΑΤΑΣΤΗΜΑΤΩΝ ΥΓΕΙΟΝΟΜΙΚΟΥ ΕΝ∆ΙΑΦΕΡΟΝΤΟΣ.</t>
  </si>
  <si>
    <t>Τµήµατος Αγροτ. &amp; Κτηνοτρ. Παραγωγής&amp; Αλιείας</t>
  </si>
  <si>
    <t>ΒΛΛ5Ω10-ΣΟΙ</t>
  </si>
  <si>
    <t>Συγκρότηση τριµελούς επιτροπής Εποπτών Λαϊκών Αγορών του ∆ήµου Σερρών.</t>
  </si>
  <si>
    <t>Τµήµατος Αγροτικής και Κτηνοτροφικής Παραγωγής&amp; Αλιείας</t>
  </si>
  <si>
    <t>ΒΛΛΜΩ10-35Κ</t>
  </si>
  <si>
    <t>Γνωµοδότηση προς την Απ/νη ∆/ση για τον αριθµό αδειών υπαίθριου εµπορίου(στασίµου&amp; πλανοδίου).</t>
  </si>
  <si>
    <t>Τµήµατος Αγροτικής&amp; Κτηνοτροφ. Παραγωγής&amp; Αλιείας</t>
  </si>
  <si>
    <t>ΒΛΛ1Ω10-Ο1Μ</t>
  </si>
  <si>
    <t>Έγκριση τροποποίησης ετήσιου προγράµµατος δράσης και µεταφορά αδιάθετων πιστώσεων ΣΑΤΑ 2012.</t>
  </si>
  <si>
    <t>ΒΛΛΞΩ10-8ΜΩ</t>
  </si>
  <si>
    <t>Έγκριση εκπόνησης µελέτης µε τίτλο: « Μελέτη οριοθέτησης τµήµατος ρέµατος Αγίου Γεωργίου» και τρόπος εκτέλεσής της.</t>
  </si>
  <si>
    <t>ΒΛΛΙΩ10-Γ69</t>
  </si>
  <si>
    <t>Επέκταση αστικής περιοχής και γραµµής του αστικού ΚΤΕΛ Σερρών ΑΕ στις Τοπικές Κοινότητες, Άνω Καµήλας, Μονοκκλησιάς, Προβατά, Βαµβακιάς, Αναγέννησης.</t>
  </si>
  <si>
    <t>κ. Καλαϊτζίδη Βασίλειου</t>
  </si>
  <si>
    <t>ΒΛΛΙΩ10-ΣΕΖ</t>
  </si>
  <si>
    <t>Έγκριση 1ου Α.Π.Ε. του έργου: ¨∆ιαµόρφωση πάρκων και κοινοχρήστων χώρων Τ.Κ. Μητρουσίου¨.</t>
  </si>
  <si>
    <t>ΒΕΤ4Ω10-ΤΔΟ</t>
  </si>
  <si>
    <t>Εγκριση εκμισθωσης δια δημοπρασιας σχολικου κληρου της Τοπικης Κοινοτητας Ορεινης,εκτασεως 1.187,00 τ.μ.</t>
  </si>
  <si>
    <t>ΒΛΛΙΩ10-ΜΗ7</t>
  </si>
  <si>
    <t>Έγκριση 1ου Α.Π.Ε. του έργου: ¨Τσιµεντόστρωση – ασφαλτόστρωση και κατασκευή πεζοδροµίων στην Τ.Κ. Βαµβακιάς¨.</t>
  </si>
  <si>
    <t>ΒΛ14Ω10-ΗΔΥ</t>
  </si>
  <si>
    <t>Έγκριση 1ου Α.Π.Ε. του έργου: ¨Κατασκευή περίφραξης δηµοτικών εκτάσεων της Τ.Κ. Προβατά¨.</t>
  </si>
  <si>
    <t>ΒΛΛ1Ω10-ΨΩΩ</t>
  </si>
  <si>
    <t>Επιστροφή χρηµάτων ως αχρεωστήτως εισπραχθέντα στην κα Μελικίδου Μαρία του Ισαάκ, που αφορά παράβολο έκδοσης άδειας και λειτουργίας καταστήµατος υγειονοµικού ενδιαφέροντος.</t>
  </si>
  <si>
    <t>ΒΛΛΡΩ10-5ΡΜ</t>
  </si>
  <si>
    <t>Έγκριση µετακίνησης εκτός έδρας του ∆ηµάρχου Σερρών, κατά τους µήνες Ιούλιο και Σεπτέµβριο 2013.</t>
  </si>
  <si>
    <t>ΒΛΛΡΩ10-ΝΚΙ</t>
  </si>
  <si>
    <t>Έγκριση καταβολής εξόδων κίνησης εκτός έδρας του κ. ∆ηµάρχου από τις 22 έως και τις 24 Σεπτεµβρίου 2013.</t>
  </si>
  <si>
    <t>ΒΛΛΡΩ10-ΒΧΤ</t>
  </si>
  <si>
    <t>Έγκριση καταβολής εξόδων κίνησης εκτός έδρας του κ. ∆ηµάρχου για τους µήνες Απρίλιο και Μάιο 2013.</t>
  </si>
  <si>
    <t>ΒΛΛΚΩ10-ΧΨΥ</t>
  </si>
  <si>
    <t>Έγκριση καταβολής εξόδων κίνησης εκτός έδρας του Αντιδηµάρχου Ανάπτυξης - Αγροτικής Οικονοµίας και Τουρισµού κ. Γρηγοριάδη Παναγιώτη, στις 11-12-2012, στο Μπλαγκόεβγκραντ της Βουλγαρίας και στις 7-2-2013 στο Σαντάσκι της Βουλγαρίας.</t>
  </si>
  <si>
    <t>ΒΛΛΡΩ10-ΝΕ3</t>
  </si>
  <si>
    <t>Έγκριση καταβολής εξόδων κίνησης εκτός έδρας του Νοµικού Συµβούλου του ∆ήµου, Αµαξόπουλου Ηλία, στις 1-10-2013.</t>
  </si>
  <si>
    <t>ΒΛΛΚΩ10-ΛΧΒ</t>
  </si>
  <si>
    <t>Έγκριση καταβολής εξόδων κίνησης εκτός έδρας των υπαλλήλων του ∆ήµου µας κ.κ. Καραγκιόζη Χρήστου και Αλεξιάδη Ιωάννη, στο ∆ήµο Petrich της Βουλγαρίας, στις 23-9-2013.</t>
  </si>
  <si>
    <t>ΒΕΤΩΩ10-ΞΩΚ</t>
  </si>
  <si>
    <t>Εγκριση μελετης του εργου:«Συντηρησεις - κατασκευες στα 9ο και 32ο Νηπιαγωγεια του Δημου Σερρων», προυπολογισμου 17.500,00€.</t>
  </si>
  <si>
    <t>ΒΛΛ1Ω10-Γ7Π</t>
  </si>
  <si>
    <t>Έγκριση καταβολής στην ∆Ε∆∆ΗΕ ποσού 3.300,34 € για την εκτέλεση εργασιών επέκτασης δικτύου ΦΟΠ κατά τρεις στύλους και τοποθέτησης τριών φωτιστικών σωµάτων στην οδό πάροδος Κ. Καραµανλή της ∆.Κ. Λευκώνα του ∆ήµου Σερρών.</t>
  </si>
  <si>
    <t>ΒΛ14Ω10-ΟΘΓ</t>
  </si>
  <si>
    <t>Έγκριση απολογισµού πεπραγµένων ∆ηµοτικής Αρχής, έτους 2012.</t>
  </si>
  <si>
    <t>ΒΛΛ3Ω10-Ν6Γ</t>
  </si>
  <si>
    <t>Έκφραση άποψης του ∆ηµοτικού Συµβουλίου σχετικά µε τη διέλευση του αγωγού TAP από την εδαφική επικράτεια του ∆ήµου Σερρών.</t>
  </si>
  <si>
    <t>ΒΛΛΑΩ10-ΙΗΘ</t>
  </si>
  <si>
    <t>Έγκριση πραγµατοποίησης εκδήλωσης για τη βράβευση του Σερραίου Ολυµπιονίκη Απόστολου Τασκούδη.</t>
  </si>
  <si>
    <t>ΒΛ12Ω10-ΥΟΒ</t>
  </si>
  <si>
    <t>Έγκριση κατάργησης παγίου τέλους ακινήτων του πρώην ∆ήµου Σκουτάρεως.</t>
  </si>
  <si>
    <t>ΒΛΞΧΩ10-2Χ0</t>
  </si>
  <si>
    <t>Μη ανάκληση της άδειας λειτουργίας καταστήµατος &lt;ΚΑΦΕ-ΟΒΕΛΙΣΤΗΡΙΟ&gt; µε την επωνυµία Σεδαρίδης Φίλιππος &amp; ΣΙΑ Ο.Ε., στις Σέρρες στο 24ο χιλ. Σερρών– Λαϊλιά».</t>
  </si>
  <si>
    <t>ΒΛΞΧΩ10-5ΙΧ</t>
  </si>
  <si>
    <t>Έγκριση διοργάνωσης τελικής εκδήλωσης που αφορά στο έργο«PROMO SAFE DRIVING» (που χρηµατοδοτείται από το Πρόγραµµα Ευρωπαϊκής Εδαφικής Συνεργασίας ΕΛΛΑ∆Α-ΒΟΥΛΓΑΡΙΑ2007-2013).</t>
  </si>
  <si>
    <t>ΒΛ1ΟΩ10-ΟΡΨ</t>
  </si>
  <si>
    <t>Έγκριση δαπάνης παροχής υπηρεσιών που αφορά τη χρήση δύο γερανοφόρων οχηµάτων.</t>
  </si>
  <si>
    <t>ΒΛ1ΒΩ10-4ΟΣ</t>
  </si>
  <si>
    <t>Έγκριση διενέργειας προµηθειών για τις ανάγκες σε υλικά του τµήµατος κυκλοφοριακού σχεδιασµού.</t>
  </si>
  <si>
    <t>Τµ. Κυκλοφοριακού Σχεδιασµού και Ρυθµίσεων</t>
  </si>
  <si>
    <t>ΒΛΛ5Ω10-5ΗΖ</t>
  </si>
  <si>
    <t>Έγκριση διενέργειας προµήθειας τροφίµων και λοιπών αναλώσιµων ειδών παντοπωλείου για τις ανάγκες του Οργανισµού Προσχολικής Αγωγής Κοινωνικής Πολιτικής και Αθλητισµού του ∆ήµου Σερρών έτους 2014, προϋπολογισµού 196.189,68 € µε Φ.Π.Α.</t>
  </si>
  <si>
    <t>ΒΕΤΩΩ10-ΙΙΖ</t>
  </si>
  <si>
    <t>Εγκριση μελετης του εργου:«Συντηρησεις - μικροκατασκευες σχολικων διδακτηριων Δημου Σερρων», προυπολογισμου 17.500,00€.</t>
  </si>
  <si>
    <t>ΒΛΛΤΩ10-ΧΜΝ</t>
  </si>
  <si>
    <t>Έγκριση διενέργειας προµήθειας καυσίµων για τις ανάγκες των Νοµικών Προσώπων του ∆ήµου Σερρών, προϋπολογισµού 245.216,73 €.</t>
  </si>
  <si>
    <t>ΒΛΛΤΩ10-Ι42</t>
  </si>
  <si>
    <t>Έγκριση διενέργειας προµήθειας εβδοµήντα χιλιάδων(70.000) φακέλων αλληλογραφίας για τις ανάγκες του ∆ήµου µας.</t>
  </si>
  <si>
    <t>ΒΛΛΤΩ10-1ΞΧ</t>
  </si>
  <si>
    <t>Έγκριση διενέργειας προµήθειας συσσωρευτών (µπαταριών) για την επισκευή των µηχανηµάτων έργου και φορτηγών αυτοκινήτων των Τµηµάτων της ∆.Τ.Υ. του ∆ήµου Σερρών.</t>
  </si>
  <si>
    <t>ΒΛΛΑΩ10-ΗΞ5</t>
  </si>
  <si>
    <t>Έγκριση διενέργειας προµήθειας ανταλλακτικών για την επισκευή των δύο (2) διαµορφωτήρων γαιών (γκρέϊντερ) µηχανηµάτων της Τεχνικής Υπηρεσίας του ∆ήµου µας.</t>
  </si>
  <si>
    <t>ΒΛ1ΠΩ10-Ι9Υ</t>
  </si>
  <si>
    <t>Έγκριση δαπάνης προµήθειας και παροχής υπηρεσίας για την αντικατάσταση υαλοπινάκων στα ΜΕ 45776 µηχ/τα και ΚΗΗ-4509 αυτ/το του ∆ήµου Σερρών.</t>
  </si>
  <si>
    <t>ΒΛ1ΠΩ10-ΝΩ9</t>
  </si>
  <si>
    <t>Έγκριση διενέργειας παροχής υπηρεσίας για σύνδεση µε 24ωρο κεντρικό σταθµό λήψης σηµάτων για κεντρική είσοδο ∆ήµου – Ταµείο – Τµήµα Παιδείας– Ληξιαρχείο– DATA ROOM.</t>
  </si>
  <si>
    <t>ΒΛ1ΠΩ10-Ι75</t>
  </si>
  <si>
    <t>Έγκριση διενέργειας παροχής υπηρεσιών για συντήρηση και επισκευή οχηµάτων– µηχανηµάτων του ∆ήµου Σερρών.</t>
  </si>
  <si>
    <t>ΒΛ1ΤΩ10-0ΚΓ</t>
  </si>
  <si>
    <t>Έγκριση δωρεάν παραχώρησης κατά χρήση δηµοτικού ακινήτου στο Γενικό Νοσοκοµείο Σερρών, για στέγαση Αγροτικού Ιατρείου Κουµαριάς.</t>
  </si>
  <si>
    <t>ΒΛΛΥΩ10-ΠΧΖ</t>
  </si>
  <si>
    <t>Αναµόρφωση πιστώσεων εγκεκριµένου προϋπολογισµού οικονοµικού έτους 2013 για την ενίσχυση κωδικών που αφορούν διάφορες κρατήσεις (αναµόρφωση 131/2013).</t>
  </si>
  <si>
    <t>ΒΛΛ3Ω10-Ξ5Ν</t>
  </si>
  <si>
    <t>Αναµόρφωση πιστώσεων εγκεκριµένου προϋπολογισµού οικονοµικού έτους 2013 για την ενίσχυση κωδικών που αφορούν διάφορες κρατήσεις.</t>
  </si>
  <si>
    <t>ΒΕΤΩΩ10-Ψ43</t>
  </si>
  <si>
    <t>Εγκριση μελετης του εργου:«Επισκευες - Συντηρησεις στο Δημοτικο Σχολειο και το Γυμνασιο της Δ.Κ. Λευκωνα».</t>
  </si>
  <si>
    <t>ΒΛΛΤΩ10-ΖΒ1</t>
  </si>
  <si>
    <t>Αναµόρφωση πιστώσεων εγκεκριµένου προϋπολογισµού οικονοµικού έτους 2013 για την έκτακτη επιχορήγηση του Οργανισµού Προσχολικής Αγωγής, Κοινωνικής Πολιτικής και Αθλητισµού του ∆ήµου Σερρών.</t>
  </si>
  <si>
    <t>ΒΛΛ5Ω10-9ΥΛ</t>
  </si>
  <si>
    <t>Έγκριση 1ου ΑΠΕ του έργου: « Κατασκευή σωληνωτών αγωγών– φρεατίων και αρδευτικής τάφρου».</t>
  </si>
  <si>
    <t>ΒΛ1ΠΩ10-58Ρ</t>
  </si>
  <si>
    <t>Έγκριση 1ου ΑΠΕ του έργου: « Ασφαλτοστρώσεις ∆.Ε. Σκουτάρεως».</t>
  </si>
  <si>
    <t>ΒΛ1ΠΩ10-ΜΜΟ</t>
  </si>
  <si>
    <t>Έγκριση 1ου ΑΠΕ και 1ου ΠΚΤΜΝΕ του έργου: «∆ιαµόρφωση κεντρικής πλατείας Τ.∆. Σκουτάρεως».</t>
  </si>
  <si>
    <t>ΒΛ1ΟΩ10-ΖΔΚ</t>
  </si>
  <si>
    <t>Έγκριση 2ου ΑΠΕ του έργου: « Εφαρµογή σχεδίου πόλεως στην περιοχή Πράξης Εφαρµογής Εργατικών Κατοικιών».</t>
  </si>
  <si>
    <t>ΒΛΛ3Ω10-ΤΜΒ</t>
  </si>
  <si>
    <t>Έγκριση πρωτοκόλλου προσωρινής και οριστικής παραλαβής του έργου: ¨Περιβαλλοντική Αποκατάσταση ΧΑ∆Α ∆.Ε. Σκουτάρεως και Κ. Μητρουσίου και της Τ.Κ. Α. Βροντούς του ∆ήµου Σερρών¨.</t>
  </si>
  <si>
    <t>ΒΛΛΑΩ10-5Ε3</t>
  </si>
  <si>
    <t>Έγκριση καταβολής αποζηµίωσης στον Κανακάρη Ιωακείµ του Κρυωνά, πρώην ∆ηµοτικού Υπαλλήλου λόγω συνταξιοδότησης.</t>
  </si>
  <si>
    <t>ΒΛΛΑΩ10-Ι7Ρ</t>
  </si>
  <si>
    <t>Έγκριση καταβολής αποζηµίωσης στην Ιορδανίδου Ελισσάβετ του Αριστείδη, πρώην ∆ηµοτικού Υπαλλήλου λόγω συνταξιοδότησης.</t>
  </si>
  <si>
    <t>ΒΛΛΑΩ10-ΥΜΥ</t>
  </si>
  <si>
    <t>Έγκριση καταβολής αποζηµίωσης στην Παπαγιαννάκη Βασιλική του Κωνσταντίνου, πρώην ∆ηµοτικού Υπαλλήλου λόγω συνταξιοδότησης.</t>
  </si>
  <si>
    <t>ΒΕΤΩΩ10-ΦΥΠ</t>
  </si>
  <si>
    <t>Εγκριση μελετης του εργου:«Συντηρησεις στο 4ο Γυμνασιο Σερρων και στο 3ο Λυκειο Σερρων».</t>
  </si>
  <si>
    <t>ΒΛΛΤΩ10-5ΦΜ</t>
  </si>
  <si>
    <t>Έγκριση καταβολής εξόδων κίνησης εκτός έδρας της υπαλλήλου µας Μίκικη Φωτεινής, στο Norwick του Ηνωµένου Βασιλείου από 7-10-2013 έως 11-10-2013, στα πλαίσια του έργουENCLOSE.</t>
  </si>
  <si>
    <t>ΒΛΛΤΩ10-3ΑΧ</t>
  </si>
  <si>
    <t>Έγκριση πραγµατοποίησης εκδηλώσεων για τον εορτασµό της Εθνικής µας Επετείου της 28ης Οκτωβρίου2013 και των δαπανών αυτής.</t>
  </si>
  <si>
    <t>ΒΛΓ2Ω10-ΔΓ4</t>
  </si>
  <si>
    <t>Έγκριση Κανονισµού Λειτουργίας Λαϊκών Αγορών.</t>
  </si>
  <si>
    <t>Τµήµατος Αγρ/κής&amp; Κτν/κής Παραγωγής&amp; Αλιείας</t>
  </si>
  <si>
    <t>ΒΛΓ2Ω10-8ΘΥ</t>
  </si>
  <si>
    <t>Έγκριση Κανονισµού Λειτουργίας Λαϊκών Αγορών Βιολογικών Προϊόντων.</t>
  </si>
  <si>
    <t>Τµήµατος Αγροτικής &amp; Κτν/κής Παραγωγής &amp; Αλιείας</t>
  </si>
  <si>
    <t>ΒΛ11Ω10-Φ9Υ</t>
  </si>
  <si>
    <t>Έγκριση καθιέρωσης εργασίας του προσωπικού καθαριότητας σε βάρδιες σε εικοσιτετράωρη βάση κατά τις Κυριακές, εξαιρετέες και νυχτερινές ώρες.</t>
  </si>
  <si>
    <t>ΒΛ1ΨΩ10-ΝΛΛ</t>
  </si>
  <si>
    <t>Αποδέσµευση µέρους της εγγύησης καλής εκτέλεσης της µε αριθµ 20434 / / 05-04-2013 σύµβασης για την προµήθεια υγρών καυσίµων έτους2013.</t>
  </si>
  <si>
    <t>ΒΛ1ΥΩ10-ΕΘΓ</t>
  </si>
  <si>
    <t>Γνωστοποίηση της απαλλαγής από την τήρηση της διαδικασίας περιβαλλοντικού προελέγχου του αρ. 5 της ΚΥΑ ΥΠΕΧΩ∆Ε/ΕΥΠΕ/οικ. 107017/28-8-2006 του Τοπικού Ρυµοτοµικού Σχεδίου των Νέων Κοιµητηρίων Σερρών ∆ήµου Σερρών.</t>
  </si>
  <si>
    <t>ΒΛ19Ω10-ΗΥΦ</t>
  </si>
  <si>
    <t>Έγκριση της αρ. 221 / 2013 απόφασης του ∆/κού Συµβουλίου της «Κ.Ε.∆Η.Σ.», περί &lt;Αναµόρφωση προϋπολογισµού της Κ.Ε.∆.Η.Σ., χρήσης 2013&gt;.</t>
  </si>
  <si>
    <t>ΚΕ∆ΗΣ</t>
  </si>
  <si>
    <t>ΒΛ1ΦΩ10-Ψ6Γ</t>
  </si>
  <si>
    <t>Έγκριση της υπ΄ αρ. 168/2013 απόφαση του Ν.Π. µε την επωνυµία«Οργανισµός Προσχολικής Αγωγής, Κοινωνικής Πολιτικής και Αθλητισµού», µε θέµα: «Έγκριση Ισολογισµού χρήσης έτους 2012 του ΝΠ∆∆ µε την επωνυµία &lt;Οργανισµός Προσχολικής Αγωγής, Κοινωνικής Πολιτικής και Αθλητισµού&gt;».</t>
  </si>
  <si>
    <t>ΒΛ1ΦΩ10-598</t>
  </si>
  <si>
    <t>Έγκριση της υπ΄ αρ. 169/2013 απόφαση του Ν.Π. µε την επωνυµία«Οργανισµός Προσχολικής Αγωγής, Κοινωνικής Πολιτικής και Αθλητισµού», µε θέµα: «Έγκριση Απολογισµού Εσόδων-Εξόδων έτους 2012 του ΝΠ∆∆ µε την επωνυµία &lt;Οργανισµός Προσχολικής Αγωγής, Κοινωνικής Πολιτικής και Αθλητισµού&gt;».</t>
  </si>
  <si>
    <t>ΒΕΑΞΩ10-ΙΕΝ</t>
  </si>
  <si>
    <t>Εγκριση Προυπολογιστικου Πινακα για την εργασια:«Επισκευες - Συντηρησεις στο 5ο Δημοτικο Σχολειο Δημου Σερρων», πρ/σμου 4.000,00€.</t>
  </si>
  <si>
    <t>ΒΛ19Ω10-ΟΩΒ</t>
  </si>
  <si>
    <t>Έγκριση της 2ης τροποποίησης χρονοδιαγράµµατος και προθεσµίας εκτέλεσης σύµβασης παροχής υπηρεσιών συµβούλου για το έργο EASYTRIP: GR - BG E-MOBILITY SOLUTIONS στο πλαίσιο του προγράµµατος Ευρωπαϊκής Εδαφικής Συνεργασίας Ελλάδα-Βουλγαρία 2007-2013.</t>
  </si>
  <si>
    <t>Τµήµατος Κυκλοφοριακού Σχεδιασµού και Συγκοινωνιών</t>
  </si>
  <si>
    <t>ΒΛ17Ω10-221</t>
  </si>
  <si>
    <t>Έγκριση δαπάνης για τις ανάγκες συντήρησης και επισκευής καυστήρων σε ∆ηµοτικά κτίρια.</t>
  </si>
  <si>
    <t>ΒΛ1ΨΩ10-Ψ7Λ</t>
  </si>
  <si>
    <t>Έγκριση διενέργειας προµήθειας καυσίµων για τις ανάγκες του ∆ήµου Σερρών και των Νοµικών του Προσώπων, προϋπολογισµού 969.389,00 €, χωρίς Φ.Π.Α., για το έτος 2014.</t>
  </si>
  <si>
    <t>ΒΛ1ΨΩ10-25Κ</t>
  </si>
  <si>
    <t>Αναµόρφωση πιστώσεων εγκεκριµένου προϋπολογισµού οικονοµικού έτους 2013 για την ενίσχυση κωδικών που αφορούν χρεωλύσια δανείων (148η Αναµόρφωση οικονοµικού έτους 2013).</t>
  </si>
  <si>
    <t>ΒΛ19Ω10-ΞΛΦ</t>
  </si>
  <si>
    <t>Αναµόρφωση πιστώσεων εγκεκριµένου προϋπολογισµού οικονοµικού έτους 2013 για την ενίσχυση κωδικών που αφορούν διάφορες κρατήσεις (143η Αναµόρφωση οικονοµικού έτους 2013).</t>
  </si>
  <si>
    <t>ΒΛ11Ω10-6ΧΜ</t>
  </si>
  <si>
    <t>Αναµόρφωση πιστώσεων εγκεκριµένου προϋπολογισµού οικονοµικού έτους 2013 για την ενίσχυση του Κ.Α. 00.6712.001 µε την ένδειξη: «Απόδοση σε Παιδικούς και Βρεφονηπιακούς Σταθµούς». (154η Αναµόρφωση οικονοµικού έτους 2013).</t>
  </si>
  <si>
    <t>ΒΙ6ΝΩ10-Δ2Γ</t>
  </si>
  <si>
    <t>Έγκριση ανταλλαγής έκτασης ιδιοκτησίας των κ.κ. Εµµανουηλίδου Ευτέρπης και Γκεβρέκη Αικατερίνης, µε δηµοτική έκταση.</t>
  </si>
  <si>
    <t>ΒΛ1ΡΩ10-ΤΟΑ</t>
  </si>
  <si>
    <t>Έγκριση αναγκαιότητας συνδροµητικής υπηρεσίας ενηµέρωσης Πολεοδοµικής και κατασκευαστικής Νοµοθεσίας και ψήφιση σχετικής πίστωσης.</t>
  </si>
  <si>
    <t>Τµήµατος Υπηρεσίας ∆όµησης</t>
  </si>
  <si>
    <t>ΒΛ1ΡΩ10-39Τ</t>
  </si>
  <si>
    <t>Έγκριση τροποποίησης- επικαιροποίησης µελέτης του έργου: ¨∆ιαµόρφωση κοινοχρήστων χώρων στον οικισµό Χιονοχωρίου¨.</t>
  </si>
  <si>
    <t>ΒΛ11Ω10-ΡΜΤ</t>
  </si>
  <si>
    <t>Έγκριση εκπόνησης της διαχειριστικής µελέτης του ∆ηµοτικού δάσους Σερρών για την 10ετία 2012-2021.</t>
  </si>
  <si>
    <t>ΒΕΤΨΩ10-6ΨΣ</t>
  </si>
  <si>
    <t>Εγκριση 1ου Ανακεφαλαιωτικου Πινακα του εργου:«Αναπτυξη αρχικης εγκαταστασης (διαμορφωσης χωρου) του Κεντρου Συμβουλευτικης Υποστηριξης Γυναικων Θυματων βιας του Δημου Σερρων».</t>
  </si>
  <si>
    <t>ΒΛ11Ω10-Ψ9Κ</t>
  </si>
  <si>
    <t>Έγκριση εκπόνησης µελέτης µε τίτλο: ¨Επικαιροποίηση µελέτης οριοθέτη- σης ρεµάτων οικισµού Αγίου Ιωάννη ∆ήµου Σερρών¨ και τρόπος εκτέλεσής της.</t>
  </si>
  <si>
    <t>ΒΛ11Ω10-ΚΝΟ</t>
  </si>
  <si>
    <t>Έγκριση εκπόνησης µελέτης µε τίτλο: ¨Επικαιροποίηση µελέτης οριοθέτη- σης ρέµατος οικισµού Ελαιώνα της Τ.Κ. Ελαιώνα ∆ήµου Σερρών¨ και τρόπος εκτέλεσής της.</t>
  </si>
  <si>
    <t>ΒΛ1ΛΩ10-3ΚΒ</t>
  </si>
  <si>
    <t>Έγκριση µελέτης του έργου: ¨Συντήρηση Κοινοτικού Καταστήµατος στην Τ.Κ. Χριστός¨, πρ/σµού 25.000,00 €.</t>
  </si>
  <si>
    <t>ΒΛ1ΛΩ10-ΠΘΜ</t>
  </si>
  <si>
    <t>Έγκριση µελέτης του έργου: ¨Συµπληρωµατικές εργασίες πρασίνου στις οδούς Ανατολ. Θράκης, Μ.Αλεξάνδρου, Εθν. Αντίστασης και Β.Βασιλείου¨, πρ/σµού 12.487,17 €.</t>
  </si>
  <si>
    <t>ΒΛ10Ω10-8ΡΞ</t>
  </si>
  <si>
    <t>Έγκριση µελέτης παροχής υπηρεσιών µε τίτλο: ¨Λειτουργία και καθαρισµός δηµόσιας τουαλέτας στην πλατεία Ελευθερίας ∆ήµου Σερρών¨.</t>
  </si>
  <si>
    <t>ΒΛ1ΡΩ10-ΩΩΠ</t>
  </si>
  <si>
    <t>Έγκριση µελέτης παροχής υπηρεσιών: ¨Συντήρηση αγροτικών δρόµων της ∆ηµοτικής Ενότητας Λευκώνα, της Τοπικής Κοινότητας Ορεινής, Άνω Βροντούς και Ελαιώνα έτους 2014¨.</t>
  </si>
  <si>
    <t>ΒΛ1ΡΩ10-Ω4Θ</t>
  </si>
  <si>
    <t>Έγκριση µελέτης παροχής υπηρεσιών: ¨Συντήρηση αγροτικών δρόµων της ∆ηµοτικής Ενότητας Σκουτάρεως έτους 2014¨.</t>
  </si>
  <si>
    <t>ΒΛ1ΡΩ10-Η8Β</t>
  </si>
  <si>
    <t>Έγκριση µελέτης παροχής υπηρεσιών: ¨Συντήρηση αγροτικών δρόµων της ∆ηµοτικής Ενότητας Μητρουσίου έτους 2014¨.</t>
  </si>
  <si>
    <t>ΒΛ1ΡΩ10-Ψ6Λ</t>
  </si>
  <si>
    <t>Έγκριση 1ου ΑΠΕ του έργου: « Επικάλυψη και συµπύκνωση πρανών αποκαταστηµένου τµήµατος Χ.Υ.Τ.Α. Σερρών».</t>
  </si>
  <si>
    <t>ΒΛ1ΕΩ10-23Δ</t>
  </si>
  <si>
    <t>Έγκριση 1ου ΑΠΕ του έργου: «Συντηρήσεις οδικού δικτύου ∆ήµου Σερρών για το έτος2013».</t>
  </si>
  <si>
    <t>ΒΕΤ4Ω10-ΞΘΦ</t>
  </si>
  <si>
    <t>Εγκριση παρατασης της συμβατικης προθεσμιας περαιωσης των εργασιων του εργου:«Μελετη - κατασκευη - χρηματοδοτηση και παραχωρηση εκμεταλλευσης υπογειου σταθμου αυτοκινητων στο Ο.Π. 181 του Δημου Σερρων».</t>
  </si>
  <si>
    <t>ΒΛ1ΕΩ10-ΓΧΤ</t>
  </si>
  <si>
    <t>Έγκριση Προϋπολογιστικού Πίνακα και τεχνικής περιγραφής των εργασιών του έργου: ¨∆ιαµόρφωση πεζοδροµίου γηπέδου της Τ.Κ. Βαµβακούσας¨.</t>
  </si>
  <si>
    <t>ΒΛ19Ω10-Ο5Ε</t>
  </si>
  <si>
    <t>Έγκριση πρωτοκόλλου προσωρινής παραλαβής του έργου: Βελτίωση των υπαρχουσών εγκαταστάσεων του καταφυγίου αδέσποτων ζώων συντροφιάς.</t>
  </si>
  <si>
    <t>ΒΙΨΠΩ10-ΡΕΗ</t>
  </si>
  <si>
    <t>∆ιαγραφή χρεών των δηµοτών µας κ.κ. ΠΑΠΠΟΥ ΙΩΑΝΝΗ κ.λ.π. από τους χρηµατικούς βεβαιωτικούς καταλόγους του ∆ήµου.</t>
  </si>
  <si>
    <t>ΒΛ17Ω10-Ξ11</t>
  </si>
  <si>
    <t>∆ιαγραφή οφειλετών από τους χρηµατικούς βεβαιωτικούς καταλόγους του ∆ήµου (κ.κ. Ανδρέογλου Πολυχρόνη, Τραγούδα Γεωργίου), πράξεων παράβασης από επιβολή προστίµου, λόγω λανθασµένης εγγραφής.</t>
  </si>
  <si>
    <t>ΒΛ17Ω10-1ΔΒ</t>
  </si>
  <si>
    <t>∆ιαγραφή οφειλετών από τους χρηµατικούς βεβαιωτικούς καταλόγους του ∆ήµου (κ.κ. Καρανικολάου Θεοδ. &amp; Γουγαλάκη Γ.- Καλαϊτζής Κ. «ΠΟΤΟΚΙΝΗΣΗ),πράξεων παράβασης από επιβολή προστίµου, λόγω λανθασµένης εγγραφής, ως προς το πρόσωπό τους.</t>
  </si>
  <si>
    <t>ΒΛ17Ω10-18Ε</t>
  </si>
  <si>
    <t>Έγκριση µετακίνησης εκτός έδρας του ∆ηµάρχου Σερρών, από τις 14 Οκτωβρίου 2013 έως και 15 Οκτωβρίου 2013, στην Αθήνα.</t>
  </si>
  <si>
    <t>ΒΛ17Ω10-ΗΟΓ</t>
  </si>
  <si>
    <t>Έγκριση µετακίνησης εκτός έδρας του ∆ηµάρχου Σερρών, στις 22 και 23 Οκτωβρίου 2013, στην Νυρεµβέργη της Γερµανίας.</t>
  </si>
  <si>
    <t>ΒΛ1ΗΩ10-ΘΧΧ</t>
  </si>
  <si>
    <t>Έγκριση καταβολής εξόδων κίνησης εκτός έδρας για συµµετοχή σε εκθέσεις τουρισµού στο εξωτερικό του κ. Γρηγοριάδη Παναγιώτη, Αντιδήµαρχου Ανάπτυξης- Αγροτικής Οικονοµίας και Τουρισµού.</t>
  </si>
  <si>
    <t>ΒΙΨΒΩ10-ΕΣΟ</t>
  </si>
  <si>
    <t>Ενηµέρωση που αφορά διευκρινίσεις σχετικά µε καταγγελία για καταπάτηση δηµοτικής έκτασης από την εταιρεία¨JUMBO Α.Ε.¨.</t>
  </si>
  <si>
    <t>ΒΛ1ΛΩ10-16Θ</t>
  </si>
  <si>
    <t>Έγκριση συµµετοχής εκπροσώπου του ∆ήµου Σερρών, στην ∆ιεθνής Έκθεση Τουρισµού 29η PHILOXENIA στις 21-24 Νοεµβρίου 2013, στην ∆.Ε.Θ.</t>
  </si>
  <si>
    <t>ΒΕΤΨΩ10-ΞΛΠ</t>
  </si>
  <si>
    <t>Εγκριση πρωτοκολλου προσωρινης και οριστικης παραλαβης του εργου:"Οδοστρωσια 2009".</t>
  </si>
  <si>
    <t>ΒΛ0ΝΩ10-Θ95</t>
  </si>
  <si>
    <t>Έγκριση µετεγκατάστασης της ∆/νσης Τεχνικών Υπηρεσιών του ∆ήµου Σερρών και του Ν.Π. µε την επωνυµία: « Οργανισµός Προσχολικής Αγωγής, Κοινωνικής Πολιτικής και Αθλητισµού».</t>
  </si>
  <si>
    <t>ΒΛ10Ω10-ΓΟ4</t>
  </si>
  <si>
    <t>Έγκριση δηµιουργίας κωδικών εσόδων-εξόδων για χρηµατοδότηση του προγράµµατος «ΒΟΗΘΕΙΑ ΣΤΟ ΣΠΙΤΙ». (Αναµόρφωση 170η έτους 2013).</t>
  </si>
  <si>
    <t>ΒΛ1ΕΩ10-7ΘΡ</t>
  </si>
  <si>
    <t>Αναµόρφωση πιστώσεων εγκεκριµένου προϋπολογισµού οικονοµικού έτους 2013, για την ενίσχυση κωδικών που αφορούν διάφορες κρατήσεις. (131η Αναµόρφωση οικονοµικού έτους 2013)</t>
  </si>
  <si>
    <t>ΒΛ1ΕΩ10-ΕΥ9</t>
  </si>
  <si>
    <t>Έγκριση διενέργειας προµήθειας ανταλλακτικών για την άµεση επισκευή οχηµάτων του ∆ήµου.</t>
  </si>
  <si>
    <t>ΒΛ1ΗΩ10-Α15</t>
  </si>
  <si>
    <t>Γνωµοδότηση για την οριοθέτηση τµήµατος χειµάρρου Αγίων Αναργύρων ∆ήµου Σερρών σύµφωνα µε την ανασυνταγµένη µελέτη.</t>
  </si>
  <si>
    <t>ΒΛ0ΧΩ10-47Κ</t>
  </si>
  <si>
    <t>Έγκριση εκπόνησης της Μελέτης Αστικής Κινητικότητας και διενέργειας διαγωνισµού ανάθεσής της.</t>
  </si>
  <si>
    <t>ΒΛ1ΓΩ10-ΖΕΝ</t>
  </si>
  <si>
    <t>Έγκριση µελέτης του έργου: « Συντήρηση οδού Αγία Ελένη-Πεπονιά», καθορισµός τρόπου εκτέλεσης του έργου και ψήφιση σχετικής πίστωσης.</t>
  </si>
  <si>
    <t>ΒΛ1ΓΩ10-ΟΞΥ</t>
  </si>
  <si>
    <t>Έγκριση προϋπολογιστικού πίνακα των εργασιών: « Σύνδεση µε τη ∆ΕΗ του παλαιού δικτύου φωτισµού της εισόδου της ∆ηµοτικής Κοινότητας Προβατά».</t>
  </si>
  <si>
    <t>ΒΛ1ΛΩ10-ΨΘΥ</t>
  </si>
  <si>
    <t>∆ιαγραφή του οφειλέτη κ. Τσιµπίρη Αλκιβιάδη από τους χρηµατικούς βεβαιωτικούς καταλόγους του ∆ήµου, πράξεων παράβασης από επιβολή προστίµου, λόγω λανθασµένης εγγραφής, ως προς το πρόσωπό του.</t>
  </si>
  <si>
    <t>ΒΙ6ΜΩ10-Υ3Λ</t>
  </si>
  <si>
    <t>Επιστροφή χρηµάτων ως αχρεωστήτως εισπραχθέντα στoν κ. Παλάζη Νικόλαο του Χρήστου.</t>
  </si>
  <si>
    <t>ΒΕΤΨΩ10-Τ8Ω</t>
  </si>
  <si>
    <t>Εγκριση πρωτοκολλου προσωρινης και οριστικης παραλαβης του εργου:"Κατασκευη χωνευτηριου στο Α' Νεκροταφειο".</t>
  </si>
  <si>
    <t>ΒΛ11Ω10-ΤΙΧ</t>
  </si>
  <si>
    <t>Έγκριση καταβολής αποζηµίωσης στην ∆ελεφέρη Βασιλική του Χρήστου, πρώην ∆ηµοτικού Υπαλλήλου λόγω συνταξιοδότησης.</t>
  </si>
  <si>
    <t>ΒΛ1ΕΩ10-ΗΘΗ</t>
  </si>
  <si>
    <t>Έγκριση καταβολής εξόδων κίνησης εκτός έδρας του κ. ∆ηµάρχου κατά τους µήνες Σεπτέµβριο και Οκτώβριο 2013, στην Θεσσαλονίκη.</t>
  </si>
  <si>
    <t>ΒΛ0ΝΩ10-3ΕΑ</t>
  </si>
  <si>
    <t>Έγκριση καταβολής εξόδων κίνησης εκτός έδρας του κ. ∆ηµάρχου από τις 14 έως και τις 15 Οκτωβρίου 2013, στην Αθήνα.</t>
  </si>
  <si>
    <t>ΒΛ1ΕΩ10-ΡΛΠ</t>
  </si>
  <si>
    <t>Έγκριση καταβολής εξόδων κίνησης εκτός έδρας του Νοµικού Συµβούλου του ∆ήµου, Αµαξόπουλου Ηλία, στις 10-10-2013, στην Θεσσαλονίκη.</t>
  </si>
  <si>
    <t>ΒΛ1ΕΩ10-Α3Α</t>
  </si>
  <si>
    <t>Έγκριση καταβολής εξόδων κίνησης εκτός έδρας της υπαλλήλου µας κας Μίκικη Φωτεινής, κατά το µήνα Οκτώβριο 2013, στην Θεσσαλονίκη.</t>
  </si>
  <si>
    <t>ΒΛ1ΕΩ10-Β6Ζ</t>
  </si>
  <si>
    <t>Έγκριση καταβολής εξόδων κίνησης εκτός έδρας των υπαλλήλων κ.κ. Βασιλοπούλου Ειρήνης και Μερτζιάνη Ειρήνης, στην Θεσσαλονίκη, στις 10-10-2013.</t>
  </si>
  <si>
    <t>ΒΛ1ΛΩ10-ΥΓΡ</t>
  </si>
  <si>
    <t>Έγκριση καταβολής εξόδων κίνησης εκτός έδρας των υπαλλήλων του ∆ήµου, κατά τους µήνες Σεπτέµβριο και Οκτώβριο 2013.</t>
  </si>
  <si>
    <t>ΒΙ6ΝΩ10-72Ξ</t>
  </si>
  <si>
    <t>Ενηµέρωση σχετικά µε το έργο: ¨Αναβάθµιση υποδοµών αυτοκινητοδρο-µίου και πάρκου κυκλοφοριακής αγωγής του ∆ήµου Σερρών¨.</t>
  </si>
  <si>
    <t>ΒΛ1ΕΩ10-ΝΞΒ</t>
  </si>
  <si>
    <t>Έγκριση πραγµατοποίησης εκδηλώσεων αφιερωµένων στην ∆ιεθνή Ηµέρα για την Εξάλειψη της Βίας κατά των Γυναικών (25 Νοεµβρίου) και σχετικής πίστωσης, στο πλαίσιο της ενταγµένης πράξης «Ανάπτυξη ∆οµών και Υπηρεσιών της Τοπικής Αυτοδιοίκησης προς όφελος των γυναικών και για την καταπολέµηση της βίας- ∆ηµιουργία Κέντρων Συµβουλευτικής Υποστήριξης Γυναικών θυµάτων βίας σε τοπικό επίπεδο στον Άξονα Προτεραιότητας 08» του Επιχειρησιακού Προγράµµατος«∆ιοικητική Μεταρρύθµιση2007-2013».</t>
  </si>
  <si>
    <t>ΒΙΨΠΩ10-ΟΣΒ</t>
  </si>
  <si>
    <t>Σχετικά µε επερώτηση της δηµοτικής παράταξης ¨Εποχή ∆ηµιουργίας - Θεόδωρος Μηλίδης¨ για τη λειτουργία του κυλικείου στο κινηµατοθέατρο ¨Αστέρια¨.</t>
  </si>
  <si>
    <t>ΒΕΤΨΩ10-ΚΙΤ</t>
  </si>
  <si>
    <t>Εγκριση πρωτοκολλου προσωρινης και οριστικης παραλαβης του εργου:"Πεζοδρομηση Δ.Δ. Αδελφικου - Κουμαριας"(πρωην δημου Σκουταρεως) ετους 2010.</t>
  </si>
  <si>
    <t>ΒΛ11Ω10-9ΛΖ</t>
  </si>
  <si>
    <t>Έγκριση Τεχνικού Προγράµµατος ∆ήµου Σερρών, έτους 2014.</t>
  </si>
  <si>
    <t>ΒΛ1ΥΩ10-Ζ3Β</t>
  </si>
  <si>
    <t>Έγκριση του προϋπολογισµού εσόδων - εξόδων και ολοκληρωµένου πλαισίου δράσης του ∆ήµου Σερρών οικονοµικού έτους 2014.</t>
  </si>
  <si>
    <t>ΒΛ1ΔΩ10-Ι7Χ</t>
  </si>
  <si>
    <t>Συγκρότηση τριµελούς επιτροπής έτους 2013 για την παραλαβή της προµήθειας κάδων κοµποστοποίησης, κατά το άρθρο 28 του ΕΚΠΟΤΑ.</t>
  </si>
  <si>
    <t>ΒΛ1ΔΩ10-Φ77</t>
  </si>
  <si>
    <t>Συγκρότηση τριµελούς επιτροπής έτους 2013 για την παραλαβή της προµήθειας ενός απορριµµατοφόρου 16 κ.µ., κατά το άρθρο 28 του ΕΚΠΟΤΑ.</t>
  </si>
  <si>
    <t>ΒΛ1ΔΩ10-32Σ</t>
  </si>
  <si>
    <t>Συγκρότηση τριµελούς επιτροπής για την παραλαβή της προµήθειας αλατιού αποχιονισµού οδικών δικτύων του ∆ήµου, της ∆/νσης Καθαριότητας και του Τµήµατος Πολιτικής Προστασίας του ∆ήµου, έτους, 2013, κατά το άρθρο 28 του ΕΚΠΟΤΑ.</t>
  </si>
  <si>
    <t>ΒΛ1ΔΩ10-Δ99</t>
  </si>
  <si>
    <t>Έγκριση δαπάνης προσφοράς δεµάτων αγάπης σε άπορους δηµότες του ∆ήµου Σερρών για τις εορτές των Χριστουγέννων.</t>
  </si>
  <si>
    <t>ΒΛΓΩΩ10-ΘΓΗ</t>
  </si>
  <si>
    <t>Άσκηση αρµοδιοτήτων της πρώην ∆ηµοτικής Αστυνοµίας από υπαλλήλους του ∆ήµου Σερρών.</t>
  </si>
  <si>
    <t>κ. Σοφοκλή Θεµιστοκλέους</t>
  </si>
  <si>
    <t>ΒΛΓΒΩ10-ΔΕΧ</t>
  </si>
  <si>
    <t>Έγκριση της υπ’ αρ. 187/2013 απόφασης του ∆.Σ. του Ν.Π.∆.∆. του ∆ήµου Σερρών, µε την επωνυµία «Οργανισµός Προσχολικής Αγωγής, Κοινωνικής Πολιτικής και Αθλητισµού ∆ήµου Σερρών», περί έγκρισης προϋπολογισµού του έτους 2014.</t>
  </si>
  <si>
    <t>ΒΛΓ7Ω10-1ΔΨ</t>
  </si>
  <si>
    <t>Έγκριση της υπ’ αρ. 250/2013 απόφασης του ∆.Σ. της¨Κ.Ε.∆Η.Σ.¨ µε θέµα: ¨Έγκριση προϋπολογισµού της ΚΕ∆ΗΣ χρήσης 2014¨.</t>
  </si>
  <si>
    <t>κ. Ιωάννη ∆ήµου</t>
  </si>
  <si>
    <t>ΒΛΓ7Ω10-Η9Ρ</t>
  </si>
  <si>
    <t>Έγκριση της υπ’ αρ. 251/2013 απόφασης του ∆/κού Συµβουλίου της Κ.Ε.∆Η.Σ. µε θέµα: «Έγκριση Ετησίου Σχεδίου ∆ράσης της Κ.Ε.∆Η.Σ. έτους 2014».</t>
  </si>
  <si>
    <t>ΒΕΤ4Ω10-Ν6Ο</t>
  </si>
  <si>
    <t>Διαγραφη ποσου απο τους χρηματικους βεβαιωτικους καταλογους του Δημου μας, το οποιο καταλογιστηκε σε βαρος του πρωην Δημαρχου Σκουταρεως κ. ΤΣΟΛΑΚΟΥΔΗ ΙΩΑΝΝΗ του ΧΡΗΣΤΟΥ.</t>
  </si>
  <si>
    <t>Τμ. Προσοδων</t>
  </si>
  <si>
    <t>ΒΛΓ7Ω10-Λ9Λ</t>
  </si>
  <si>
    <t>Έγκριση της υπ’ αρ. 252/2013 απόφασης του ∆/κού Συµβουλίου της Κ.Ε.∆Η.Σ. µε θέµα: ¨Έγκριση εισηγητικής έκθεσης προς το ∆ηµ. Συµβούλιο Σερρών για την χρηµατοδότηση της Κ.Ε.∆Η.Σ. για το έτος 2014, σύµφωνα µε το άρθρο10 του Ν. 4071/2012¨.</t>
  </si>
  <si>
    <t>ΒΛ1ΔΩ10-Ξ9Υ</t>
  </si>
  <si>
    <t>Έγκριση συµµετοχής στην εκδήλωση « Ετήσια Βραβεία για την Οδική Ασφάλεια» του οµώνυµου βουλγαρικού Ιδρύµατος στη Σόφια Βουλγαρίας, στις4 ∆εκεµβρίου, στο πλαίσιο της πράξηςPROMO SAFE DRIVING.</t>
  </si>
  <si>
    <t>ΒΛ1ΔΩ10-ΤΦΚ</t>
  </si>
  <si>
    <t>Έγκριση πραγµατοποίησης εκδηλώσεων αφιερωµένων στην Παγκόσµια Ηµέρα Αναπήρων (3 ∆εκεµβρίου) µε τον τίτλο: «ΦΩΤΕΙΝΕΣ ΜΕΡΕΣ» και σχετικής πίστωσης.</t>
  </si>
  <si>
    <t>ΒΛ0ΖΩ10-ΥΔΛ</t>
  </si>
  <si>
    <t>Έγκριση τροποποίησης χρονοδιαγράµµατος και παράταση προθεσµίας εκτέλεσης σύµβασης προµήθειας εξοπλισµού (equipment) στο πλαίσιο του έργου EASYTRIP: GR – BG E-MOBILITY SOLUTIONS στο πλαίσιο του προγράµµατος Ευρωπαϊκής Εδαφικής Συνεργασίας Ελλάδα – Βουλγαρία 2007-2013.</t>
  </si>
  <si>
    <t>Τµ. Κυκλοφοριακού Σχεδιασµού και Συγκοινωνιών</t>
  </si>
  <si>
    <t>ΒΛ0ΖΩ10-5ΔΩ</t>
  </si>
  <si>
    <t>Έγκριση διενέργειας προµήθειας και εργασιών για την µετεγκατάσταση της ∆ιεύθυνσης Τεχνικών Υπηρεσιών του ∆ήµου.</t>
  </si>
  <si>
    <t>ΒΛ08Ω10-ΕΛ6</t>
  </si>
  <si>
    <t>Έγκριση απ΄ ευθείας ανάθεσης της προµήθειας φρέσκου γάλακτος για χορήγηση στους δικαιούχους υπαλλήλους του ∆ήµου Σερρών.</t>
  </si>
  <si>
    <t>ΒΛ0ΧΩ10-Ω71</t>
  </si>
  <si>
    <t>Τροποποίηση των ποσοστών κατανοµής των χρηµατοδοτήσεων, µεταξύ της Α/θµιας και της Β/θµιας Εκπ/σης σε ποσοστό 52% - 48%, υπέρ της Α΄/θµιας Εκπ/σης.</t>
  </si>
  <si>
    <t>Τµ. Παιδείας</t>
  </si>
  <si>
    <t>ΒΛ08Ω10-96Λ</t>
  </si>
  <si>
    <t>Έγκριση χορήγησης δικαιώµατος και καθορισµός ενιαίου τέλους βοσκής έτους 2013.</t>
  </si>
  <si>
    <t>ΒΛΓΔΩ10-Δ11</t>
  </si>
  <si>
    <t>Έγκριση τροποποίησης της υπ' αριθµ. 662/2013 Α∆Σ «Έγκριση σύναψης προγραµµατικής σύµβασης µεταξύ ∆ήµου Σερρών και Εθνικού Μετσόβιου Πολυτεχνείου για τη διερεύνηση αποκατάστασης ασφαλτοτάπητα κυκλοφορίας αυτοκινητοδροµίου¨».</t>
  </si>
  <si>
    <t>ΒΛ1ΔΩ10-7ΩΦ</t>
  </si>
  <si>
    <t>Αναµόρφωση πιστώσεων εγκεκριµένου προϋπολογισµού οικονοµικού έτους 2013 για την ενίσχυση κωδικών κρατήσεων (174η Αναµόρφωση οικονοµικού έτους 2013).</t>
  </si>
  <si>
    <t>ΒΕΤ4Ω10-ΩΑΛ</t>
  </si>
  <si>
    <t>Εγκριση μετακινησης εκτος εδρας του Δημαρχου Σερρων, κατα τον μηνα Ιανουαριο 2013.</t>
  </si>
  <si>
    <t>ΒΛ12Ω10-0ΚΧ</t>
  </si>
  <si>
    <t>Αναµόρφωση πιστώσεων εγκεκριµένου προϋπολογισµού οικονοµικού έτους 2013 για την ενίσχυση κωδικών κρατήσεων (179η Αναµόρφωση οικονοµικού έτους 2013).</t>
  </si>
  <si>
    <t>ΒΛ0ΧΩ10-ΣΚΟ</t>
  </si>
  <si>
    <t>Αναµόρφωση πιστώσεων εγκεκριµένου προϋπολογισµού οικονοµικού έτους 2013 για την ενίσχυση του Κ.Α. 00.6712.01 για τον Οργανισµό Προσχολικής Αγωγής, Κοινωνικής Πολιτικής και Αθλητισµού του ∆ήµου Σερρών(197η Αναµόρφωση οικονοµικού έτους 2013).</t>
  </si>
  <si>
    <t>ΒΛ0ΧΩ10-ΦΘ6</t>
  </si>
  <si>
    <t>Αναµόρφωση πιστώσεων εγκεκριµένου προϋπολογισµού οικ. έτους 2013 για την αποδοχή χρηµατοδότησης για την κάλυψη λειτουργικών δαπανών σχολείων και την κάλυψη δαπάνης υλοποίησης θεσµού Σχολικού Τροχονόµου για το Β΄ Εξάµηνο έτους 2013.</t>
  </si>
  <si>
    <t>ΒΛ0ΧΩ10-ΜΣΕ</t>
  </si>
  <si>
    <t>Αναµόρφωση πιστώσεων εγκεκριµένου προϋπολογισµού οικ. έτους 2013 για την ενίσχυση κωδικών που αφορούν τον φωτισµό και κίνηση, τα δικαστικά έξοδα και το αντίτιµο ηλεκτρικού ρεύµατος.</t>
  </si>
  <si>
    <t>ΒΛ12Ω10-ΣΧΚ</t>
  </si>
  <si>
    <t>Αναµόρφωση πιστώσεων εγκεκριµένου προϋπολογισµού οικονοµικού έτους 2013 για την ενίσχυση κωδικoύ που αφορά µισθοδοσία προσωπικού (190η Αναµόρφωση οικονοµικού έτους 2013).</t>
  </si>
  <si>
    <t>ΒΛΓΔΩ10-Υ4Χ</t>
  </si>
  <si>
    <t>Έγκριση δηµιουργίας κωδικού εσόδου για την χρέωση-είσπραξη προστίµου παράνοµης βοσκής(Αναµόρφωση 192η έτους 2013).</t>
  </si>
  <si>
    <t>ΒΛ0ΖΩ10-5ΝΨ</t>
  </si>
  <si>
    <t>Απόρριψη της υπ’ αριθ. πρωτ. 70128/24-10-2013 ένστασης του αναδόχου του έργου: « Αναβάθµιση υποδοµών Αυτοκινητοδροµίου και Πάρκου Κυκλοφοριακής Αγωγής ∆ήµου Σερρών».</t>
  </si>
  <si>
    <t>ΒΛΓ7Ω10-Χ18</t>
  </si>
  <si>
    <t>Έγκριση και παραλαβή µελέτης µε τίτλο: ¨Σύνταξη περιβαλλοντικών µελετών για την νοµιµοποίηση των αρδευτικών γεωτρήσεων του ∆ήµου Σερρών¨.</t>
  </si>
  <si>
    <t>ΒΛ0ΝΩ10-ΠΞΜ</t>
  </si>
  <si>
    <t>Έγκριση 1ου ΑΠΕ του έργου: « Εργασίες βελτίωσης δικτύου φωτεινής σηµατοδότησης πλατείας ∆ήµητρας Σερρών».</t>
  </si>
  <si>
    <t>ΒΕΤ4Ω10-ΖΔ6</t>
  </si>
  <si>
    <t>Εγκριση μετακινησης εκτος εδρας του Αντιδημαρχου Εργων-Υποδομων κ.Μυστακιδη Παυλου, κατα το μηνα Ιανουαριο 2013.</t>
  </si>
  <si>
    <t>ΒΛ08Ω10-3Ο5</t>
  </si>
  <si>
    <t>Έγκριση 1ου ΑΠΕ του έργου: « Έργα υποδοµής στο τέως στρατόπεδο Παπαλουκά» και παράταση προθεσµίας περαίωσης.</t>
  </si>
  <si>
    <t>ΒΛ0ΝΩ10-Ζ9Ν</t>
  </si>
  <si>
    <t>Έγκριση 1ου ΑΠΕ του έργου: «Εφαρµογή σχεδίου πόλεως στην περιοχή της Π.Ε. Σιγής έτους2012».</t>
  </si>
  <si>
    <t>ΒΛ0ΧΩ10-9ΓΑ</t>
  </si>
  <si>
    <t>Έγκριση 1ου ΑΠΕ του έργου: « Ασφαλτοστρώσεις ∆ηµοτικής Ενότητας Λευκώνα».</t>
  </si>
  <si>
    <t>ΒΛ08Ω10-Β2Σ</t>
  </si>
  <si>
    <t>Έγκριση 1ου ΑΠΕ του έργου: « ∆ιαµόρφωση κοινόχρηστων χώρων Τ.Κ. Καλών ∆ένδρων».</t>
  </si>
  <si>
    <t>ΒΛ1ΔΩ10-ΦΑΩ</t>
  </si>
  <si>
    <t>Έγκριση 3ης παράτασης προθεσµίας περαίωσης του έργου: «Αρδευτικά έργα Κοινότητας Άνω Βροντούς».</t>
  </si>
  <si>
    <t>ΒΛ08Ω10-6ΤΘ</t>
  </si>
  <si>
    <t>Έγκριση Προϋπολογιστικού Πίνακα και τεχνικής περιγραφής των εργασιών: ¨Κατασκευή περίφραξης δηµοτικής έκτασης στην Τ.Κ. Χριστός¨.</t>
  </si>
  <si>
    <t>ΒΛ08Ω10-ΑΣΠ</t>
  </si>
  <si>
    <t>Έγκριση πρωτοκόλλου προσωρινής παραλαβής του έργου: ¨∆ιαµόρφωση πλατείας και πεζόδροµου οδού Καβάφη¨.</t>
  </si>
  <si>
    <t>ΒΛ1ΔΩ10-ΞΥΧ</t>
  </si>
  <si>
    <t>Έγκριση µετακίνησης εκτός έδρας του ΑντιδηµάρχουAνάπτυξης-Αγροτικής Οικονοµίας και Τουρισµού κ. Παναγιώτη Γρηγοριάδη, κατά το µήνα Νοέµβριο 2013.</t>
  </si>
  <si>
    <t>ΒΛ12Ω10-94Ω</t>
  </si>
  <si>
    <t>Έγκριση καταβολής εξόδων κίνησης εκτός έδρας του κ. ∆ηµάρχου από τις 22 έως και 23/10/2013, στη Νυρεµβέργη της Γερµανίας.</t>
  </si>
  <si>
    <t>ΒΕΤ4Ω10-4Ο3</t>
  </si>
  <si>
    <t>Εγκριση μετακινησης εκτος εδρας του Αντιδημαρχου Αναπτυξης-Αγροτικης Οικονομιας και Τουρισμου κ. Παναγιωτη Γρηγοριαδη, κατα το μηνα Φεβρουαριο 2013.</t>
  </si>
  <si>
    <t>ΒΛ12Ω10-0ΦΙ</t>
  </si>
  <si>
    <t>Έγκριση συµπληρωµατικής καταβολής εξόδων κίνησης εκτός έδρας του υπαλλήλου του ∆ήµου, Λυµπέρη Γεώργιου του Παναγιώτη, κατά το µήνα Σεπτέµβριο 2013.</t>
  </si>
  <si>
    <t>ΒΛ1ΔΩ10-ΠΛΡ</t>
  </si>
  <si>
    <t>Έγκριση µελέτης: « Προµήθεια δένδρων και θάµνων για τον Καλλικρατικό ∆ήµο Σερρών».</t>
  </si>
  <si>
    <t>ΒΙ6ΑΩ10-3Κ3</t>
  </si>
  <si>
    <t>Έγκριση απολογισµού του ∆ήµου Σερρών οικονοµικού έτους 2012.</t>
  </si>
  <si>
    <t>ΒΙ6ΑΩ10-ΓΚΒ</t>
  </si>
  <si>
    <t>Έγκριση ισολογισµού και αποτελεσµάτων χρήσεως του ∆ήµου Σερρών, οικονοµικού έτους 2012.</t>
  </si>
  <si>
    <t>ΒΛΓΓΩ10-ΜΩΜ</t>
  </si>
  <si>
    <t>Έγκριση παράτασης χρονικής περιόδου, έργου εκκαθάρισης ΚΕΠΣ ∆ήµου Σερρών εκ του εκκαθαριστή κ. ∆. Ζιγκερίδη και αποδοχή της προσφοράς της εταιρείας ΣΟΛ ΑΕ για έλεγχο των οικονοµικών καταστάσεων της ΚΕΠΣ για το διάστηµα από 1.1.2009-31.12.2009 και 1.1.2010-31.5.2010».</t>
  </si>
  <si>
    <t>ΒΛΓΞΩ10-8ΨΑ</t>
  </si>
  <si>
    <t>Έγκριση δηµιουργίας και εκτύπωσης πληροφοριακών εντύπων για το Κέντρο Συµβουλευτικής Υποστήριξης Γυναικών θυµάτων βίας του ∆ήµου και ψήφιση σχετικής πίστωσης.</t>
  </si>
  <si>
    <t>ΒΛΓΞΩ10-Δ5Ν</t>
  </si>
  <si>
    <t>Έγκριση προβολής της πόλης των Σερρών µε από τοportal www.wiw.gr της WHO IS WHO και έγκριση σχετικής δαπάνης.</t>
  </si>
  <si>
    <t>ΒΙ65Ω10-1ΚΖ</t>
  </si>
  <si>
    <t>Εξουσιοδότηση διαφόρων αρµοδίων υπαλλήλων του ∆ήµου µας κατά τα οριζόµενα στο ΟΕΥ για την από 1-1-2014 κι εφεξής οικονοµική διαχείριση του κληροδοτήµατος Ι. Αποστολίδη.</t>
  </si>
  <si>
    <t>ΒΙ6ΑΩ10-ΝΔΛ</t>
  </si>
  <si>
    <t>Έγκριση διεκδίκησης τόκων εκ του κληροδοτήµατος«Ι. Αποστολίδη» από τις Τράπεζες: Εθνική Τράπεζα της Ελλάδος και ALPHA BANK (πρώην Εµπορική Τράπεζα της Ελλάδος (υπ/κα Σερρών).</t>
  </si>
  <si>
    <t>ΒΛΓΔΩ10-ΡΔΘ</t>
  </si>
  <si>
    <t>Έγκριση της αρ. 6/2013 απόφασης του ∆/κού Συµβουλίου της ¨∆.Α.Ε.Κ.Α.Σ.¨, περί ¨Έγκρισης προϋπολογισµού της «∆.Α.Ε.Κ.Α.Σ.», οικονοµικού έτους 2014¨.</t>
  </si>
  <si>
    <t>∆ΑΕΚΑΣ</t>
  </si>
  <si>
    <t>ΒΙ63Ω10-ΓΕ0</t>
  </si>
  <si>
    <t>Ενηµέρωση του ∆.Σ. επί της αριθµ. 7 / 2013 απόφασης του ∆/κού Συµβουλίου της ∆ηµοτικής Ανώνυµης Εταιρείας µε την επωνυµία «∆.Α.Ε.Κ.Α.Σ.», περί: «Λήψη απόφασης για αντικατάσταση λογιστή στη ∆.Α.Ε.Κ.Α.Σ.».</t>
  </si>
  <si>
    <t>ΒΛΓΔΩ10-39Υ</t>
  </si>
  <si>
    <t>Έγκριση της αρ. 261 / 2013 απόφασης του ∆/κού Συµβουλίου της «Κ.Ε.∆Η.Σ.», περί &lt;Αναµόρφωση προϋπολογισµού της Κ.Ε.∆.Η.Σ., χρήσης 2013&gt;.</t>
  </si>
  <si>
    <t>ΒΛΓΔΩ10-ΖΩΝ</t>
  </si>
  <si>
    <t>Έγκριση της αρ. 269 / 2013 απόφασης του ∆/κού Συµβουλίου της «Κ.Ε.∆Η.Σ.», περί &lt;Αναµόρφωση προϋπολογισµού της Κ.Ε.∆.Η.Σ., χρήσης 2013&gt;.</t>
  </si>
  <si>
    <t>ΒΛΓ2Ω10-ΦΗΧ</t>
  </si>
  <si>
    <t>Έγκριση της αρ. 38 / 2013 απόφασης του ∆/κού Συµβουλίου της ∆.Ε. «∆Η.ΠΕ.ΘΕ.», περί&lt;Έγκρισης αναµόρφωσης προϋπολογισµού έτους2013 της ∆Η.Κ.Ε. ∆Η.ΠΕ.ΘΕ. Σερρών&gt;.</t>
  </si>
  <si>
    <t>∆Η.ΠΕ.ΘΕ.</t>
  </si>
  <si>
    <t>ΒΛΓΔΩ10-6Δ2</t>
  </si>
  <si>
    <t>Έγκριση της αρ. 39 / 2013 απόφασης του ∆/κού Συµβουλίου της ∆.Ε. «∆Η.ΠΕ.ΘΕ.», περί &lt;Κατάρτιση και ψήφιση του προϋπολογισµού της ∆Η.Κ.Ε. ∆Η.ΠΕ.ΘΕ. Σερρών για το έτος 2014&gt;.</t>
  </si>
  <si>
    <t>ΒΙ6ΜΩ10-Χ6Ι</t>
  </si>
  <si>
    <t>∆ιατύπωση γνώµης σχετικά µε τις µεταβολές σχολικών µονάδων ∆ευτεροβάθµιας Εκπαίδευσης έτους 2014-2015.</t>
  </si>
  <si>
    <t>ΒΛΓΞΩ10-66Ο</t>
  </si>
  <si>
    <t>∆ιατύπωση γνώµης σχετικά µε την εκµίσθωση δηµόσιας έκτασης για την εγκατάσταση κτηνοτροφικής µονάδας (βοειδή) από τη Ζωή Φάκη του Βασιλείου, κάτ. Τ.Κ. Οινούσας (Χιονοχώρι) στη θέση ∆.Θ. «ΡΟΥΣΤΑΚΑ» του ∆ηµοσίου ∆άσους Μενοικίου.</t>
  </si>
  <si>
    <t>ΒΛΓΞΩ10-ΡΜΠ</t>
  </si>
  <si>
    <t>∆ιατύπωση γνώµης σχετικά µε την εκµίσθωση δηµόσιας έκτασης για την εγκατάσταση κτηνοτροφικής µονάδας (βοειδή) από την Νικόλαο Φάκη του Βασιλείου, κάτ. Τ.Κ. Οινούσας(Χιονοχώρι) στη θέση ∆.Θ. «ΡΟΥΣΤΑΚΑ» του ∆ηµοσίου ∆άσους Μενοικίου.</t>
  </si>
  <si>
    <t>ΒΙΨ0Ω10-8Β7</t>
  </si>
  <si>
    <t>Έγκριση διενέργειας προµήθειας λιπαντικών για τις ανάγκες του ∆ήµου Σερρών και των Νοµικών του Προσώπων, έτους 2014, προϋπολογισµού 90.320,31 € µε Φ.Π.Α.</t>
  </si>
  <si>
    <t>ΒΙΨΨΩ10-1Λ1</t>
  </si>
  <si>
    <t>Έγκριση διενέργειας προµήθειας ειδών καθαριότητας υγιεινής και ευπρεπισµού για τις ανάγκες του ∆ήµου Σερρών και των Νοµικών του Προσώπων, έτους 2014, προϋπολογισµού 244.442,45 € µε Φ.Π.Α.</t>
  </si>
  <si>
    <t>ΒΙ6ΑΩ10-ΠΦΚ</t>
  </si>
  <si>
    <t>Έγκριση προµήθειας µε τίτλο « Προµήθεια, εγκατάσταση και θέση σε λειτουργία του Σταθµού Συµπαραγωγής στο Γενικό Νοσοκοµείο Σερρών», στα πλαίσια υλοποίησης της πράξης«Εγκατάσταση σταθµού Συµπαραγωγής Ηλεκτρισµού και Θερµότητας Υψηλής Αποδοτικότητας (ΣΗΘΥΑ) σε συνδυασµό µε συστήµατα Ψύξης µε χρήση φυσικού αερίου στο Γενικό Νοσοκοµείο Σερρών».</t>
  </si>
  <si>
    <t>Τµήµατος Η/Μ Έργων</t>
  </si>
  <si>
    <t>ΒΕΤ6Ω10-ΞΣΓ</t>
  </si>
  <si>
    <t>ΒΛΓΞΩ10-85Β</t>
  </si>
  <si>
    <t>Έγκριση απ΄ ευθείας ανάθεσης µέρους της προµήθειας οικοδοµικών υλικών έργων αυτεπιστασίας ∆ήµου Σερρών.</t>
  </si>
  <si>
    <t>ΒΛΓΞΩ10-0Η1</t>
  </si>
  <si>
    <t>Έγκριση απ΄ ευθείας ανάθεσης της προµήθειας καυσίµων των Νοµικών Προσώπων του ∆ήµου Σερρών, µε τη διαδικασία της διαπραγµάτευσης.</t>
  </si>
  <si>
    <t>ΒΙΨΨΩ10-ΙΘ4</t>
  </si>
  <si>
    <t>Καθιέρωση υποτροφίας κληροδοτήµατος Ι. Αποστολίδη.</t>
  </si>
  <si>
    <t>ΒΙΡΤΩ10-ΛΕ7</t>
  </si>
  <si>
    <t>Καθορισµός αποζηµίωσης χρήσης δηµοτικών κτηµάτων για τις καλλιεργητικές περιόδους 2011-2012 και 2012-2013.</t>
  </si>
  <si>
    <t>ΒΛΓΥΩ10-6ΟΒ</t>
  </si>
  <si>
    <t>Έγκριση έκθεσης εσόδων - εξόδων Β΄ Τριµήνου 2013 για τον έλεγχο υλοποίησης του προϋπολογισµού του ∆ήµου Σερρών οικονοµικού έτους 2013.</t>
  </si>
  <si>
    <t>ΒΛΓΥΩ10-Κ27</t>
  </si>
  <si>
    <t>Έγκριση έκθεσης εσόδων - εξόδων Γ΄ Τριµήνου 2013 για τον έλεγχο υλοποίησης του προϋπολογισµού του ∆ήµου Σερρών οικονοµικού έτους 2013.</t>
  </si>
  <si>
    <t>ΒΙ65Ω10-Ε6Δ</t>
  </si>
  <si>
    <t>Έγκριση κατάργησης παγίου τέλους τσιµενταυλάκων των Τοπικών Κοινοτήτων Χριστός και Καλά ∆ένδρα.</t>
  </si>
  <si>
    <t>ΒΛΓΓΩ10-ΓΞΙ</t>
  </si>
  <si>
    <t>Έγκριση ολοκληρωµένου πλαισίου δράσης ∆ήµου Σερρών, συµπεριλαµβα-νοµένων των Νοµικών Προσώπων µεταβατικής περιόδου 2013.</t>
  </si>
  <si>
    <t>ΒΙ6ΝΩ10-2ΝΣ</t>
  </si>
  <si>
    <t>Αποδοχή χρηµατοδότησης για την υλοποίηση της πράξης «Προµήθεια και εγκατάσταση αυτόνοµου υβριδικού συστήµατος θέρµανσης νερού της κολυµβητικής δεξαµενής του ΕΕΕΕΚ Σερρών µε χρήση ηλιακής ενέργειας και φυσικού αερίου», ποσού 50.000,00 € από το Υπουργείο Μακεδονίας– Θράκης και έγκριση υλοποίησης αυτής.</t>
  </si>
  <si>
    <t>ΒΕΔ3Ω10-5ΨΠ</t>
  </si>
  <si>
    <t>Ορισμος Δημοτικου Συμβουλου ως μελος στην Επιτροπη Παραλαβης εργασιων και υπηρεσιων που αναντιθεται για το ετος 2013, συμφωνα με τις διαταξεις του Π.Δ. 28/80.</t>
  </si>
  <si>
    <t>ΒΛΓ1Ω10-ΓΛ4</t>
  </si>
  <si>
    <t>Αναµόρφωση πιστώσεων εγκεκριµένου προϋπολογισµού οικονοµικού έτους 2013 για την ενίσχυση κωδικών µισθοδοσίας (201η Αναµόρφωση οικονοµικού έτους 2013).</t>
  </si>
  <si>
    <t>ΒΛΓ1Ω10-446</t>
  </si>
  <si>
    <t>Αναµόρφωση πιστώσεων εγκεκριµένου προϋπολογισµού οικονοµικού έτους 2013 για την ενίσχυση κωδικών µισθοδοσίας. (214η Αναµόρφωση οικονοµικού έτους 2013).</t>
  </si>
  <si>
    <t>ΒΛΓΓΩ10-4ΔΛ</t>
  </si>
  <si>
    <t>Αναµόρφωση πιστώσεων εγκεκριµένου προϋπολογισµού οικονοµικού έτους 2013 για την ενίσχυση κωδικών που αφορούν το φωτισµό και κίνηση και το αντίτιµο ηλεκτρικού ρεύµατος (215η Αναµόρφωση οικονοµικού έτους 2013).</t>
  </si>
  <si>
    <t>ΒΛΓ1Ω10-59Ζ</t>
  </si>
  <si>
    <t>Αναµόρφωση πιστώσεων εγκεκριµένου προϋπολογισµού οικονοµικού έτους 2013 για την ενίσχυση κωδικών µισθοδοσίας (203η Αναµόρφωση οικονοµικού έτους 2013).</t>
  </si>
  <si>
    <t>ΒΛΓ1Ω10-Π3Α</t>
  </si>
  <si>
    <t>Αναµόρφωση πιστώσεων εγκεκριµένου προϋπολογισµού οικονοµικού έτους 2013 για την ενίσχυση κωδικών µισθοδοσίας και εργοδοτικών εισφορών(202η Αναµόρφωση οικονοµικού έτους 2013).</t>
  </si>
  <si>
    <t>ΒΛΓ1Ω10-ΛΦΥ</t>
  </si>
  <si>
    <t>Αναµόρφωση πιστώσεων εγκεκριµένου προϋπολογισµού οικονοµικού έτους 2013 για την ενίσχυση κωδικών µισθοδοσίας και εργοδοτικών εισφορών(207η Αναµόρφωση οικονοµικού έτους 2013).</t>
  </si>
  <si>
    <t>ΒΛΓ1Ω10-2Ρ6</t>
  </si>
  <si>
    <t>Αναµόρφωση πιστώσεων εγκεκριµένου προϋπολογισµού οικονοµικού έτους 2013 για την ενίσχυση κωδικών µισθοδοσίας και εργοδοτικών εισφορών υπαλλήλων και αντιµισθίας αιρετών (204η Αναµόρφωση οικονοµικού έτους 2013).</t>
  </si>
  <si>
    <t>ΒΙΕΡΩ10-Υ2Γ</t>
  </si>
  <si>
    <t>Αναµόρφωση πιστώσεων εγκεκριµένου προϋπολογισµού οικονοµικού έτους 2013 για την ενίσχυση κωδικών κρατήσεων (206η Αναµόρφωση οικονοµικού έτους 2013).</t>
  </si>
  <si>
    <t>ΒΛΓ1Ω10-ΔΜΨ</t>
  </si>
  <si>
    <t>Αναµόρφωση πιστώσεων εγκεκριµένου προϋπολογισµού οικονοµικού έτους 2013 για την ορθή απεικόνιση των ΚΑ εσόδων και εξόδων σύµφωνα µε το αριθµ. πρωτ. 48802/3-12-2013 έγγραφο του Υπουργείου Εσωτερικών(208η Αναµόρφωση οικονοµικού έτους 2013).</t>
  </si>
  <si>
    <t>ΒΛΓ1Ω10-4ΤΗ</t>
  </si>
  <si>
    <t>Αναµόρφωση πιστώσεων εγκεκριµένου προϋπολογισµού οικονοµικού έτους 2013 για την ενίσχυση του κωδικού 15.6162.001 µε την ένδειξη: «Κοινωνικές δοµές αντιµετώπισης της φτώχειας στο ∆ήµο Σερρών» (210η Αναµόρφωση οικονοµικού έτους 2013).</t>
  </si>
  <si>
    <t>ΒΙ6ΤΩ10-9ΛΜ</t>
  </si>
  <si>
    <t>Αναµόρφωση πιστώσεων εγκεκριµένου προϋπολογισµού οικονοµικού έτους 2013 που αφορά το κληροδότηµα«Ι. Αποστολίδη» (212η Αναµόρφωση οικονοµικού έτους 2013).</t>
  </si>
  <si>
    <t>ΒΙΕΕΩ10-Π7Α</t>
  </si>
  <si>
    <t>Αναµόρφωση πιστώσεων εγκεκριµένου προϋπολογισµού οικονοµικού έτους 2013 για την ενίσχυση κωδικών κρατήσεων(213η και 216η Αναµόρφωση οικονοµικού έτους 2013).</t>
  </si>
  <si>
    <t>ΒΕΑΙΩ10-ΤΙΑ</t>
  </si>
  <si>
    <t>Εγκριση σχεδιου συμβασης Διαδημοτικης Συνεργασιας για την παροχη υποστηριξης απο την Δ.Τ.Υ. του Δημου Σερρων προς την Δ.Τ.Υ. του Δημου Βισαλτιας.</t>
  </si>
  <si>
    <t>ΒΛΓ1Ω10-2ΒΜ</t>
  </si>
  <si>
    <t>Αναµόρφωση πιστώσεων εγκεκριµένου προϋπολογισµού οικονοµικού έτους 2013 για την ενίσχυση κωδικών κρατήσεων. (179η Αναµόρφωση οικονοµικού έτους 2013).</t>
  </si>
  <si>
    <t>ΒΙ65Ω10-ΟΣΛ</t>
  </si>
  <si>
    <t>Έγκριση εκµίσθωσης δια δηµοπρασίας τµήµατος του υπ΄ αρ. 333 αγροτεµαχίου του αγροκτήµατος Λευκώνα, χαρακτηρισµένο ως«ΗΡΩΟ».</t>
  </si>
  <si>
    <t>Τµήµατος Προσόδων&amp; ∆ηµόσιας Περιουσίας</t>
  </si>
  <si>
    <t>ΒΙ6ΖΩ10-ΚΝΞ</t>
  </si>
  <si>
    <t>Έγκριση δαπάνης βιβλιοδεσίας και επιδιόρθωσης βιβλίων για τις ανάγκες των ∆ηµοτολογίων και των Ληξιαρχείων του ∆ήµου µας.</t>
  </si>
  <si>
    <t>Τµ. ∆ηµοτολογίων και Ληξιαρχείου</t>
  </si>
  <si>
    <t>ΒΛΓΞΩ10-7ΥΚ</t>
  </si>
  <si>
    <t>Έγκριση καταβολής δαπάνης τροφείου για την φιλοξενία παιδιών υπαλλήλων µας σε ιδιωτική κατασκήνωση έτους 2013.</t>
  </si>
  <si>
    <t>ΒΙ6ΝΩ10-ΧΘΙ</t>
  </si>
  <si>
    <t>Έγκριση µελέτης παροχής υπηρεσιών µε τίτλο: ¨Συντήρηση, οργάνωση, διαχείριση χώρων πρασίνου της ∆ηµοτικής Ενότητας Σερρών του ∆ήµου Σερρών¨, έτους 2014.</t>
  </si>
  <si>
    <t>ΒΛΓΞΩ10-8ΜΓ</t>
  </si>
  <si>
    <t>Γνωµοδότηση για την οριοθέτηση τµήµατος χειµάρρου Ξηροπόταµου ∆.Κ. Λευκώνα ∆ήµου Σερρών.</t>
  </si>
  <si>
    <t>ΒΙ6ΜΩ10-ΣΞ4</t>
  </si>
  <si>
    <t>Ψήφιση Κανονισµού χρέωσης και επιβολής προστίµου για τον καθαρισµό οικοπέδων και λοιπών ακάλυπτων χώρων εντός και εκτός οικισµού.</t>
  </si>
  <si>
    <t>ΒΙΨ4Ω10-Ο2Χ</t>
  </si>
  <si>
    <t>∆ιόρθωση της αρ. 406/2013 Α∆Σ ως προς το ποσό αποζηµίωσης επικειµένων ιδιοκτησίας κ.κ. Ακσεχερλίδη Ευάγγελου και Ακσεχερλίδου Σουλτάνας στην περιοχή«Σιγής-Ν. Κηφισιάς».</t>
  </si>
  <si>
    <t>ΒΛΓ1Ω10-4ΔΝ</t>
  </si>
  <si>
    <t>ΒΛΓ1Ω10-Ν49</t>
  </si>
  <si>
    <t>Ψήφιση πίστωσης και έκδοση σχετικών ενταλµάτων για τους Σχολικούς Αγρούς(Κ. Καµήλα).</t>
  </si>
  <si>
    <t>ΒΕΑΚΩ10-1ΒΣ</t>
  </si>
  <si>
    <t>Εγκριση μνημονιων ενεργειων σχεδιασμου και δρασεων της Πολιτικης Προστασιας του Δημου Σερρων, για την αντιμετωπιση κινδυνων απο την εκδηλωση πυρκαγιων - χιονοπτωσεων - παγετων - πλημμυρων &amp; σεισμικων φαινομενων.</t>
  </si>
  <si>
    <t>Τμ. Πολιτικης Προστασιας</t>
  </si>
  <si>
    <t>ΒΛΓ1Ω10-ΠΛΘ</t>
  </si>
  <si>
    <t>Ψήφιση πίστωσης και έκδοση σχετικών ενταλµάτων για τους Σχολικούς Αγρούς(Κουµαριά, Αδελφικό).</t>
  </si>
  <si>
    <t>ΒΛΓΦΩ10-ΝΘΨ</t>
  </si>
  <si>
    <t>Έγκριση παράτασης προθεσµίας περαίωσης εργασιών του έργου: ¨Συντήρηση δηµοτικού κτηρίου στην Τ.Κ. Ορεινής¨.</t>
  </si>
  <si>
    <t>ΒΛΓΦΩ10-ΓΚΥ</t>
  </si>
  <si>
    <t>Έγκριση παράτασης προθεσµίας περαίωσης του έργου: ¨Αναπλάσεις κοινόχρηστων χώρων στον οικισµό Χιονοχωρίου ∆ήµου Σερρών¨.</t>
  </si>
  <si>
    <t>ΒΛΓΦΩ10-ΟΚ1</t>
  </si>
  <si>
    <t>Έγκριση παράτασης προθεσµίας περαίωσης εργασιών του έργου: ¨Κατασκευή γραφείου εξυπηρέτησης κοινού στην περιοχή Αγ. Ιωάννη¨.</t>
  </si>
  <si>
    <t>ΒΛΓΞΩ10-Β5Α</t>
  </si>
  <si>
    <t>Έγκριση 1ου Ανακεφαλαιωτικού Πίνακα Εργασιών και 1ου Π.Κ.Τ.Μ.Ν.Ε. του έργου: «Κατασκευή τοίχου αντιστήριξης στην οδό Μιαούλη του ∆ήµου Σερρών» και παράταση προθεσµίας.</t>
  </si>
  <si>
    <t>ΒΛΓΞΩ10-2ΗΖ</t>
  </si>
  <si>
    <t>Έγκριση του 1ου ΑΠΕ και του 1ου Π.Κ.Τ.Μ.Ν.Ε. του έργου «Αναπλάσεις κοινόχρηστων χώρων στην Κοινότητα Ορεινής»</t>
  </si>
  <si>
    <t>ΒΛΓΞΩ10-ΡΙΣ</t>
  </si>
  <si>
    <t>Έγκριση 1ου Ανακεφαλαιωτικού Πίνακα του έργου: « Ανακατασκευή πεζοδροµίων στην οδό Προύσσης&amp; Εφέσου».</t>
  </si>
  <si>
    <t>ΒΛΓΞΩ10-Ω2Χ</t>
  </si>
  <si>
    <t>Έγκριση 1ου Ανακεφαλαιωτικού Πίνακα του έργου: «Κατασκευή ράµπας (ΑΜΕΑ) στο ∆ηµοτικό Σχολείο Άνω Μητρουσίου».</t>
  </si>
  <si>
    <t>ΒΛΓ1Ω10-ΦΡ3</t>
  </si>
  <si>
    <t>Έγκριση 1ου Ανακεφαλαιωτικού Πίνακα του έργου: « Κατασκευή πεζοδροµίου στην οδό Τσαµαδού».</t>
  </si>
  <si>
    <t>ΒΛΓ1Ω10-ΝΕΓ</t>
  </si>
  <si>
    <t>Έγκριση 2ου Α.Π.Ε. του έργου «∆ιαµόρφωση κεντρικής πλατείας Τ∆ Κάτω Καµήλας».</t>
  </si>
  <si>
    <t>ΒΕ56Ω10-Δ12</t>
  </si>
  <si>
    <t>Εγκριση καταργησης παγιου τελους ακινητων του πρωην Δημου Σκουταρεως.</t>
  </si>
  <si>
    <t>ΒΛΓ1Ω10-Δ2Υ</t>
  </si>
  <si>
    <t>Έγκριση του 2ου ΑΠΕ, του 1ου ΠΚΤΜΝΕ και της 1ης συµπληρωµατικής σύµβασης του έργου«Πεζοδρόµηση τµήµατος οδού Μεραρχίας».</t>
  </si>
  <si>
    <t>ΒΛΓ1Ω10-Φ04</t>
  </si>
  <si>
    <t>Έγκριση 1ου Α.Π.Ε. του έργου « Ασφαλτοστρώσεις δηµοτικής ενότητας Μητρουσίου».</t>
  </si>
  <si>
    <t>ΒΛΓΔΩ10-ΣΤ5</t>
  </si>
  <si>
    <t>Έγκριση πρωτοκόλλου προσωρινής παραλαβής του έργου: «Συντηρήσεις οδικού δικτύου ∆ήµου Σερρών για το έτος 2012».</t>
  </si>
  <si>
    <t>ΒΛΓΞΩ10-0Θ2</t>
  </si>
  <si>
    <t>Έγκριση οριστικών πρωτοκόλλων παραλαβής των προµηθειών: 1) ENOΣ ΑΠΟΡΡΙΜΜΑΤΟΦΟΡΟΥ 16 Κ.Μ., 2) 150 ΚΑ∆ΩΝ ΚΟΜΠΟΣΤΟΠΟΙΗΣΗΣ, 3) 150 ΣΥΣΚΕΥΑΣΙΩΝ ΓΑΙΟΣΚΩΛΙΚΩΝ ΚΑΙ ΤΟΥ ΛΟΓΙΣΜΙΚΟΥ ΑΝΑΒΑΘΜΙΣΗΣ ΤΟΥ ΕΚΠΑΙ∆ΕΥΤΙΚΟΥ ΠΡΟΣΟΜΕΙΩΤΗ Ο∆ΗΓΗΣΗΣ.</t>
  </si>
  <si>
    <t>ΒΙ65Ω10-Ψ9Ξ</t>
  </si>
  <si>
    <t>Έγκριση συµµετοχής του ∆ήµου Σερρών στην Αύξηση του µετοχικού κεφαλαίου της ανώνυµης εταιρείας µε την επωνυµία « Φορέας ∆ιαχείρισης Λαϊλιά Α.Ε.».</t>
  </si>
  <si>
    <t>ΒΛΓΞΩ10-Υ9Λ</t>
  </si>
  <si>
    <t>Έγκριση 4ου / 2013 πρακτικού της επιτροπής επίλυσης δια συµβιβασµού φορολογικών διαφορών και αµφισβητήσεων, του άρθ. 32 του Ν. 1080/80, σχετικά µε την προσφυγή του κ. Χαράλαµπου Γεωργ. Αργυρίου (Καφε-Μπαρ«CAMEO»).</t>
  </si>
  <si>
    <t>ΒΛΓΔΩ10-8ΥΚ</t>
  </si>
  <si>
    <t>∆ιαγραφή χρέους της µισθώτριας εταιρείας OLYMPIC ETE A.E., από παράβαση ΚΟΚ, από τους χρηµατικούς βεβαιωτικούς καταλόγους του ∆ήµου.</t>
  </si>
  <si>
    <t>ΒΛΓΔΩ10-ΔΩ5</t>
  </si>
  <si>
    <t>∆ιαγραφή χρέους του οφειλέτη κ. Μετσιµενίδη Στυλιανού, από τους χρηµατικούς βεβαιωτικούς καταλόγους του ∆ήµου, πράξεων παράβασης από επιβολή προστίµου, λόγω λανθασµένης εγγραφής, ως προς το πρόσωπό του.</t>
  </si>
  <si>
    <t>ΒΛΓΔΩ10-7ΥΜ</t>
  </si>
  <si>
    <t>∆ιαγραφή χρέους του δηµότη µας κ. Ρέστα ∆ηµήτριου, από παράβαση ΚΟΚ, από τους χρηµατικούς βεβαιωτικούς καταλόγους του ∆ήµου.</t>
  </si>
  <si>
    <t>ΒΛΓΓΩ10-8ΙΩ</t>
  </si>
  <si>
    <t>Επιστροφή χρηµάτων ως αχρεωστήτως εισπραχθέντα στον κ. Ιωαννίδη Πασχάλη του Χρήστου, που αφορά δηµοτικό φόρο 0,5% έτους2013.</t>
  </si>
  <si>
    <t>ΒΕΔΧΩ10-960</t>
  </si>
  <si>
    <t>Εγκριση συμμετοχης στην δευτερη επισκεψη μελετης στο πλαισιο του Π.Ε.4 Αναλυση καλων πρακτικων, ανταλλαγη τεχνογνωσιας και εμπειριων του εργου:«Ενεργειακη Αποδοτικοτητα στις αστικες εμπορευματικες μεταφορες (Energy efficiency in City Logistics Services-ENCLOSE)».</t>
  </si>
  <si>
    <t>ΒΛΓΓΩ10-ΘΚΚ</t>
  </si>
  <si>
    <t>Επιστροφή χρηµάτων ως αχρεωστήτως εισπραχθέντα στην κ. Γεωργιάδου Στέλλα χήρα Γεωργίου, από εκταφή του θανόντος συζύγου της στο Α΄ Νεκροταφείο.</t>
  </si>
  <si>
    <t>ΒΛΓΔΩ10-ΙΨ6</t>
  </si>
  <si>
    <t>Επιστροφή χρηµάτων ως αχρεωστήτως εισπραχθέντα στον κ. Τσιλιακούδη Χαράλαµπο του Γεωργίου.</t>
  </si>
  <si>
    <t>ΒΙ6ΜΩ10-Υ58</t>
  </si>
  <si>
    <t>Επιστροφή χρηµάτων ως αχρεωστήτως εισπραχθέντα στον κ. Καρακούτη Γεώργιο του Φιλίππου.</t>
  </si>
  <si>
    <t>ΒΛΓΔΩ10-Φ3Μ</t>
  </si>
  <si>
    <t>Επιστροφή χρηµάτων ως αχρεωστήτως εισπραχθέντα στον κ. Βάκο Βασίλειο.</t>
  </si>
  <si>
    <t>ΒΛΓ1Ω10-3Α7</t>
  </si>
  <si>
    <t>΄Εγκριση καταβολής εξόδων κίνησης εκτός έδρας του κ. ∆ηµάρχου, κατά τον µήνα Νοέµβριο 2013.</t>
  </si>
  <si>
    <t>ΒΛΓ1Ω10-ΖΒ0</t>
  </si>
  <si>
    <t>Έγκριση καταβολής εξόδων κίνησης εκτός έδρας του Αντιδηµάρχου Ανάπτυξης - Αγροτικής Οικονοµίας κ. Γρηγοριάδη Παναγιώτη, στην Καβάλα, κατά το µήνα Νοέµβριο 2013, συµµετέχοντας στην Τεχνική Συνάντηση στα πλαίσια του έργου«EASY TRIP».</t>
  </si>
  <si>
    <t>ΒΛΓ1Ω10-Φ9Δ</t>
  </si>
  <si>
    <t>Έγκριση καταβολής εξόδων κίνησης εκτός έδρας του Νοµικού Συµβούλου του ∆ήµου, Αµαξόπουλου Ηλία, στην Θεσσαλονίκη, κατά το µήνα Νοέµβριο 2013.</t>
  </si>
  <si>
    <t>ΒΕΔ2Ω10-8ΛΝ</t>
  </si>
  <si>
    <t>Εγκριση διενεργειας προμηθειας γραφικης υλης ετους 2013.</t>
  </si>
  <si>
    <t>ΒΕΔ2Ω10-Θ49</t>
  </si>
  <si>
    <t>Εγκριση διενεργειας προμηθειας χαρτιου για τα φωτοτυπικα μηχανηματα, εκτυπωτες, PLOTTERS του Δημου ετους 2013.</t>
  </si>
  <si>
    <t>ΒΕΔ2Ω10-Ζ5Γ</t>
  </si>
  <si>
    <t>Εγκριση διενεργειας προμηθειας εντυπων ετους 2013.</t>
  </si>
  <si>
    <t>ΒΕΔ2Ω10-ΧΣΝ</t>
  </si>
  <si>
    <t>Ψηφιση πιστωσεων για το ετος 2013.</t>
  </si>
  <si>
    <t>ΒΕΔΔΩ10-ΧΤΦ</t>
  </si>
  <si>
    <t>Ψηφιση πιστωσης για τη συναψη προγραμματικης συμβασης μεταξυ του Δημου Σερρων και της ΕΣΑΝΣ ΑΑΕ για την υγειονομικη ταφη των απορριμματων του Δημου μας στον Χ.Υ.Τ. Ν.Σερρων.</t>
  </si>
  <si>
    <t>ΒΕΔΘΩ10-ΨΚΙ</t>
  </si>
  <si>
    <t>Εγκριση δαπανης προμηθειας 28 δαφνικων στεφανιων, ηχητικης καλυψης παρελασεως για την 25η Μαρτιου 2013 ημερα Εθνικης Επετειου και διαθεση σχετικης πιστωσης.</t>
  </si>
  <si>
    <t>Γραφειο Τυπου και Δημοσιων Σχεσεων</t>
  </si>
  <si>
    <t>ΒΕΔ3Ω10-7ΜΨ</t>
  </si>
  <si>
    <t>Εγκριση προμηθειας τεντοπανου για τη νεα εξεδρα των επισημων στις παρελασεις.</t>
  </si>
  <si>
    <t>ΒΕΔΔΩ10-6ΗΡ</t>
  </si>
  <si>
    <t>Αναμορφωση πιστωσεων εγκεκριμενου προυπολογισμου οικ. ετους 2013 για τις οφειλες ετους 2012 του Δημου Σερρων που αφορουν εξοδα μετακινησης υπαλληλων και διαφορες προμηθειες στα πλαισια του προγραμματος "FOREST CITIES" και ψηφιση σχετικης πιστωσης.</t>
  </si>
  <si>
    <t>Οικονομική Επιτροπή</t>
  </si>
  <si>
    <t>ΒΕΙ7Ω10-3Α1</t>
  </si>
  <si>
    <t>∆ιάθεση πιστώσεων σύµφωνα µε το άρθρο160 του ∆ΚΚ (Ν.3463/2006).</t>
  </si>
  <si>
    <t>Τµ. Λογιστηρίου του ∆ήµου</t>
  </si>
  <si>
    <t>ΒΕΙ7Ω10-ΤΦΩ</t>
  </si>
  <si>
    <t>Ορισµός δικηγόρου της Νοµικής Υπηρεσίας του ∆ήµου µας για την εκπροσώπησή του ενώπιον του Μονοµελούς ∆ιοικητικού Πρωτοδικείου Σερρών που αφορά προσφυγή κατά της αξίας ακινήτων στην περιοχή πράξης εφαρµογής ΣΙΓΗΣ– Ν. ΚΗΦΙΣΙΑ</t>
  </si>
  <si>
    <t>Τµήµα Υπηρεσίας ∆όµησης του ∆ήµου</t>
  </si>
  <si>
    <t>ΒΕΙ7Ω10-9ΓΕ</t>
  </si>
  <si>
    <t>Ορισµός δικηγόρου της Νοµικής Υπηρεσίας του ∆ήµου µας για την εκπροσώπησή του ενώπιον του Μονοµελούς Πρωτοδικείου Σερρών που αφορά συζήτηση παροχής Α∆ΕΙΑΣ απόδοσης κατασχεθέντος των κ.κ. Ιωάννη Καλκόβαλη, Ζωής συζ. Αλεξ. Κιτµερίδη κ.λ.π. κατά του ∆ήµου Σερρών</t>
  </si>
  <si>
    <t>ΒΕΙ6Ω10-71Τ</t>
  </si>
  <si>
    <t>Ορισµός δικηγόρου της Νοµικής Υπηρεσίας του ∆ήµου µας για την άσκηση του ένδικου µέσου της έφεσης κατά της αριθ. 169/2012 απόφασης του Μονοµελούς Πρωτοδικείου Σερρών (ΕΙ∆ΙΚΗ ∆ΙΑ∆ΙΚΑΣΙΑ)</t>
  </si>
  <si>
    <t>Νοµική Υπηρεσία του ∆ήµου</t>
  </si>
  <si>
    <t>ΒΕΥΙΩ10-Φ10</t>
  </si>
  <si>
    <t>Ορισµός δικηγόρου νοµικής υπηρεσίας ∆ήµου για έλεγχο και ενέργειες για την υπόθεση της υπαλλήλου του ∆ήµου µας Χαβαλέ Μαρίας του Γεωργίου</t>
  </si>
  <si>
    <t>ΒΕΔΣΩ10-937</t>
  </si>
  <si>
    <t>∆ιάθεση πιστώσεων α) ποσού108,24 € για την δηµοσίευση της απόφασης ∆ηµάρχου 2580/2012 µε θέµα: Ορισµός Εντεταλµένου ∆ηµοτικού Συµβούλου σε τοπική εφηµερίδα β) ποσού54,12 € για την δηµοσίευση της απόφασης 840/2012 µε θέµα: Ψήφιση Κανονισµού Λειτουργίας των Κοιµητηρίων του ∆ήµου Σερρών σε τοπική εφηµερίδα γ) ποσού 1107,00 € για την δηµοσίευση της απόφασης ∆ηµάρχου 2579/2012 µε θέµα: Ορισµός Αντιδηµάρχων σε τοπική εφηµερίδα</t>
  </si>
  <si>
    <t>Γραφείο Τύπου και ∆ηµοσίων Σχέσεων του ∆ήµου</t>
  </si>
  <si>
    <t>ΒΕΔΣΩ10-ΟΡΦ</t>
  </si>
  <si>
    <t>∆ιάθεση πιστώσεων α) ποσού693,72 € για την δηµοσίευση των συνοπτικών πινάκων του Ισολογισµού και της Συνοπτικής κατάστασης του Απολογισµού εσόδων– εξόδων του ∆ήµου Σερρών για το έτος 2011 σε τοπική εφηµερίδα και β) ποσού 61,50 € για την δηµοσίευση της απόφασης797/2012 Έκδοση κανονιστικής απόφασης σχετικά µε ετήσιο µίσθωµα στις Σχολές Εκπαιδευτών Ν. Σερρών, µε βάση την αρ. 591/2012 Απόφαση της Οικονοµικής Επιτροπής σε τοπική εφηµερίδα</t>
  </si>
  <si>
    <t>ΒΛΓΛΩ10-08Ρ</t>
  </si>
  <si>
    <t>Ετήσια εγγραφή του ∆ήµου ως συνδροµητή σε εφηµερίδες και περιοδικά</t>
  </si>
  <si>
    <t>ΒΕΔΙΩ10-ΞΝ4</t>
  </si>
  <si>
    <t>Ψήφιση– διάθεση πιστώσεων συγχρηµατοδοτούµενων έργων για το έτος 2013</t>
  </si>
  <si>
    <t>ΒΕΔΔΩ10-ΣΤΖ</t>
  </si>
  <si>
    <t>Εξέταση ΠΡΟ∆ΙΚΑΣΤΙΚΗΣ ΠΡΟΣΦΥΓΗΣ της εταιρείας ΤΑΣΚΟΥ∆ΗΣ-ΓΚΑΤΖΙΟΣ Ο.Ε. έναντι της αρ. 47/2013 απόφασης της Οικονοµικής Επιτροπής που αφορά την Αποκοµιδή απορριµµάτων της ∆.Ε. Σκουτάρεως του ∆ήµου Σερρών για τα έτη 2013-2014</t>
  </si>
  <si>
    <t>Προδικαστική προσφυγή κατά της απόφασης µε αρ. 47/2013 της Οικονοµικής Επιτροπής της εταιρείας ΤΑΣΚΟΥ∆ΗΣ Ι. ΝΙΚΟΛΑΟΣ– ΓΚΑΤΖΙΟΣ Ι. ΦΩΤΙΟΣ Ο.Ε.</t>
  </si>
  <si>
    <t>Οικονοµική Επιτροπή της εταιρείας ΤΑΣΚΟΥ∆ΗΣ Ι. ΝΙΚΟΛΑΟΣ– ΓΚΑΤΖΙΟΣ Ι. ΦΩΤΙΟΣ Ο.Ε.</t>
  </si>
  <si>
    <t>ΒΕΔΙΩ10-ΗΜ1</t>
  </si>
  <si>
    <t>Έγκριση 1ου Πρακτικού της παροχής υπηρεσιών«Ενηµέρωση και ∆ιαφήµιση στο πλαίσιο ∆ιοργάνωσης της Πανεπιστηµιάδας Θεάτρου στο ∆ήµο Σερρών έτους 2013»</t>
  </si>
  <si>
    <t>Πρόεδρος της Επιτροπής ∆ιενέργειας και Αξιολόγησης Προσφορών ∆ιαγωνισµού του ∆ήµου</t>
  </si>
  <si>
    <t>Επιτροπή ∆ιενέργειας και Αξιολόγησης Προσφορών ∆ιαγωνισµού του ∆ήµου</t>
  </si>
  <si>
    <t>ΒΕΔΙΩ10-ΘΟ1</t>
  </si>
  <si>
    <t>Έλεγχος δικαιολογητικών ανάδειξης αναδόχου της «Παροχής τουριστικών υπηρεσιών έκδοσης εισιτηρίων και µεταφοράς, φιλοξενίας, διατροφής, µετακίνησης και ξενάγησης στο πλαίσιο διοργάνωσης της Πανεπιστηµιάδας Θεάτρου στο ∆ήµο Σερρών για το έτος 2013 »</t>
  </si>
  <si>
    <t>ΒΕΔΓΩ10-ΡΑΦ</t>
  </si>
  <si>
    <t>Έγκριση και διάθεση πίστωσης για τις οφειλές έτους 2012 του ∆ήµου Σερρών που αφορούν καταβολή εξόδων κίνησης του Αντιδηµάρχου κ. Μυστακίδη</t>
  </si>
  <si>
    <t>ΒΕΔΓΩ10-66Λ</t>
  </si>
  <si>
    <t>Έγκριση και διάθεση πίστωσης για τις οφειλές έτους 2012 του ∆ήµου Σερρών που αφορούν προµήθεια γάλακτος για τους µήνες από Ιούλιο έως Οκτώβριο 2012</t>
  </si>
  <si>
    <t>ΒΕΔΓΩ10-4ΦΦ</t>
  </si>
  <si>
    <t>Έγκριση και διάθεση πίστωσης για τις οφειλές έτους 2012 του ∆ήµου Σερρών που αφορούν επιδόµατα µεταφοράς µαθητών</t>
  </si>
  <si>
    <t>ΒΕΙΛΩ10-ΙΚ1</t>
  </si>
  <si>
    <t>Εξέταση ένστασης κατά του πρακτικού αξιολόγησης τεχνικών προσφορών του διαγωνισµού για την προµήθεια µέσων ατοµικής προστασίας έτους 2012</t>
  </si>
  <si>
    <t>Τµ. Προµηθειών του ∆ήµου</t>
  </si>
  <si>
    <t>ΒΕΔ3Ω10-7ΣΖ</t>
  </si>
  <si>
    <t>∆ιάθεση πιστώσεων έργων για το έτος 2013</t>
  </si>
  <si>
    <t>∆ιεύθυνση Τεχνικών Υπηρεσιών του ∆ήµου</t>
  </si>
  <si>
    <t>ΒΕΔΓΩ10-54Ω</t>
  </si>
  <si>
    <t>Έγκριση δαπάνης και διάθεσης σχετικής πίστωσης για την παροχή υπηρεσίας µε τίτλο: « Λειτουργία και καθαρισµός δηµόσιας τουαλέτας στην Πλατεία Ελευθερίας ∆ήµου Σερρών», έτους 2012-2013 και συνέχιση αυτής για το έτος 2013.</t>
  </si>
  <si>
    <t>Τµήµα Πρασίνου του ∆ήµου</t>
  </si>
  <si>
    <t>ΒΕΔΓΩ10-Τ2Μ</t>
  </si>
  <si>
    <t>Έλεγχος δικαιολογητικών ανάδειξης Αναδόχου του έργου: «Τσιµεντοστρώσεις δρόµων Τοπικής Κοινότητας Ορεινής»</t>
  </si>
  <si>
    <t>ΒΕΔΓΩ10-ΒΞΗ</t>
  </si>
  <si>
    <t>Έγκριση δαπάνης και διάθεσης σχετικής πίστωσης για την εξόφληση της παροχής υπηρεσίας µε τίτλο: « Συντήρηση αγροτικών δρόµων της ∆ηµοτικής Ενότητας Μητρουσίου Έτους 2013».</t>
  </si>
  <si>
    <t>∆.Τ.Υ. του ∆ήµου</t>
  </si>
  <si>
    <t>ΒΕΔΖΩ10-67Λ</t>
  </si>
  <si>
    <t>Ορισµός δικηγόρου νοµικής υπηρεσίας του ∆ήµου µας για την εκπροσώπησή του στο Πολυµελές Πρωτοδικείο Σερρών κατά την εκδίκαση της υπόθεσης (Τακτική ∆ιαδικασία – Κτηµατολογικός ∆ικαστής)</t>
  </si>
  <si>
    <t>ΒΕ2ΠΩ10-ΗΓ8</t>
  </si>
  <si>
    <t>Έγκριση 1ου Πρακτικού της«παροχή υπηρεσιών υποστήριξης για τη διοργάνωση της Πανεπιστηµιάδας Θεάτρου στο ∆ήµο Σερρών έτους 2013»</t>
  </si>
  <si>
    <t>ΒΕΔΧΩ10-ΒΔ6</t>
  </si>
  <si>
    <t>Εκπροσώπηση του ∆ήµου στο Μονοµελές ∆ιοικητικό Πρωτοδικείο Σερρών.</t>
  </si>
  <si>
    <t>Τµήµα Προσωπικού του ∆ήµου</t>
  </si>
  <si>
    <t>ΒΕΔΧΩ10-8ΒΤ</t>
  </si>
  <si>
    <t>Έγκριση πρακτικών ∆ηµοπρασίας του έργου: « Ολοκλήρωση Κοινοτικού Καταστήµατος Ορεινής για τη συστέγαση Υπηρεσιών»</t>
  </si>
  <si>
    <t>ΒΕΔΧΩ10-ΜΙΗ</t>
  </si>
  <si>
    <t>Έγκριση δαπάνης και διάθεση πίστωσης για αµοιβή του συµβολαιογράφου Σερρών κ. Λαϊνά Ιωάννη</t>
  </si>
  <si>
    <t>Τµήµα ∆ιοικητικών ∆ιαδικασιών του ∆ήµου</t>
  </si>
  <si>
    <t>ΒΕΙΛΩ10-ΣΔ7</t>
  </si>
  <si>
    <t>Έγκριση όρων διακήρυξης για την εκπόνηση της µελέτης µε τίτλο: «ΜΕΛΕΤΗ ΕΠΕΜΒΑΣΕΩΝ ΕΞΟΙΚΟΝΟΜΗΣΗΣ ΕΝΕΡΓΕΙΑΣ ΣΕ ∆ΗΜΟΤΙΚΑ ΚΤΙΡΙΑ» σύµφωνα µε το Ν. 3316/2005</t>
  </si>
  <si>
    <t>ΒΕΔΖΩ10-ΣΣΠ</t>
  </si>
  <si>
    <t>Όροι δηµοπρασίας εκµίσθωσης Σχολικού Κλήρου Ορεινής</t>
  </si>
  <si>
    <t>ΒΕΔΧΩ10-3Λ0</t>
  </si>
  <si>
    <t>Πληρωµή προνοιακών επιδοµάτων διµήνου Ιανουαρίου– Φεβρουαρίου 2013</t>
  </si>
  <si>
    <t>Τµήµα Κοινωνικής Πολιτικής και Προγραµµάτων του ∆ήµου</t>
  </si>
  <si>
    <t>ΒΕΔΧΩ10-ΞΑ1</t>
  </si>
  <si>
    <t>Ανανέωση του ονόµατος χώρου(domain name) serres.gr στο διαδίκτυο µέσω εταιρείας- καταχωρητή</t>
  </si>
  <si>
    <t>Τµήµα Μηχανογράφησης του ∆ήµου</t>
  </si>
  <si>
    <t>ΒΕ2ΠΩ10-ΡΞΥ</t>
  </si>
  <si>
    <t>Έγκριση όρων διακήρυξης του έργου«Αναβάθµιση χώρων µαζικού αθλητισµού» προϋπολογισµού 180.000,00 €</t>
  </si>
  <si>
    <t>ΒΕΔΧΩ10-ΠΜ1</t>
  </si>
  <si>
    <t>Έγκριση δαπάνης, διάθεση πίστωσης, έγκριση τεχνικών προδιαγραφών της προµήθειας χαρτιού για φωτοτυπικά µηχανήµατα, εκτυπωτές, plotters συνολικής δαπάνης22.927,20€ και καθορισµός τρόπου εκτέλεσης– πρόχειρος διαγωνισµός.</t>
  </si>
  <si>
    <t>ΒΕΔΧΩ10-5ΓΖ</t>
  </si>
  <si>
    <t>Έγκριση δαπάνης, διάθεση πίστωσης, έγκριση τεχνικών προδιαγραφών της προµήθειας γραφικής ύλης έτους 2013 συνολικής δαπάνης11.907,86 € και καθορισµός τρόπου εκτέλεσης– πρόχειρος διαγωνισµός</t>
  </si>
  <si>
    <t>ΒΕΔΑΩ10-ΟΟΔ</t>
  </si>
  <si>
    <t>Έγκριση δαπάνης, διάθεση πίστωσης, έγκριση τεχνικών προδιαγραφών της προµήθειας εντύπων έτους 2013 συνολικής δαπάνης 6.218,88 € και καθορισµός τρόπου εκτέλεσης– πρόχειρος διαγωνισµός</t>
  </si>
  <si>
    <t>ΒΕΔΑΩ10-ΤΜΔ</t>
  </si>
  <si>
    <t>Έγκριση και διάθεση πίστωσης για την αποζηµίωση υπερωριακής εργασίας υπαλλήλων και την απόδοση πιστώσεων στις σχολικές επιτροπές για λειτουργικές δαπάνες</t>
  </si>
  <si>
    <t>ΒΕΔΑΩ10-ΞΔΔ</t>
  </si>
  <si>
    <t>Έγκριση δαπανών και διάθεση πίστωσης της Παροχής Υπηρεσιών: «Συντήρηση αγροτικών δρόµων της ∆ηµοτικής Ενότητας Λευκώνα, της Τοπικής Κοινότητας Ορεινής και Άνω Βροντούς έτους 2013 »</t>
  </si>
  <si>
    <t>ΒΕΥΙΩ10-ΦΜ0</t>
  </si>
  <si>
    <t>Εκποίηση άχρηστων υλικών</t>
  </si>
  <si>
    <t>∆ιεύθυνση Οικονοµικών Υπηρεσιών του ∆ήµου</t>
  </si>
  <si>
    <t>ΒΕ2ΠΩ10-03Λ</t>
  </si>
  <si>
    <t>Ψήφιση – διάθεση πίστωσης για την υλοποίηση της πράξης «Sports for all» και έγκριση της διαδικασίας του διαγωνισµού για την «Προµήθεια ανυψωτικών συστηµάτων για Α.Μ.Ε.Α. και εξοπλισµού πρώτων βοηθειών»</t>
  </si>
  <si>
    <t>Τµήµα Προγραµµατισµού του ∆ήµου</t>
  </si>
  <si>
    <t>ΒΕΔΖΩ10-ΞΔ3</t>
  </si>
  <si>
    <t>Κατάρτιση κατάστασης οικονοµικά αδυνάτων δηµοτών που σιτίζονται από την «Κοινωνική Κουζίνα»</t>
  </si>
  <si>
    <t>ΒΕΔΑΩ10-ΚΑΕ</t>
  </si>
  <si>
    <t>Έγκριση πρακτικών ∆ηµοπρασίας του έργου: «Συντηρήσεις Οδικού ∆ικτύου ∆ήµου Σερρών έτους 2013</t>
  </si>
  <si>
    <t>ΒΕΔΑΩ10-ΦΓΑ</t>
  </si>
  <si>
    <t>Έγκριση και διάθεση πίστωσης για την οφειλή έτους 2012 του ∆ήµου Σερρών που αφορά τον 1ο λογαριασµό της παροχής υπηρεσιών «Καθαρισµός ∆ηµόσιας Τουαλέτας στην Πλατεία Ελευθερίας του ∆ήµου Σερρών»</t>
  </si>
  <si>
    <t>ΒΕΔΧΩ10-ΑΦΕ</t>
  </si>
  <si>
    <t>Προµήθεια λογισµικού αγωνιστικής προσοµοίωσης για τον προσοµοιωτή µάρκας FOERST τύπου TUTOR, προσαρµοσµένο στην πίστα του αυτοκινητοδροµίου του ∆ήµου Σερρών</t>
  </si>
  <si>
    <t>Τµήµα Κυκλοφοριακού Σχεδιασµού και Συγκοινωνίας του ∆ήµου</t>
  </si>
  <si>
    <t>ΒΕΔΑΩ10-00Ξ</t>
  </si>
  <si>
    <t>Έγκριση πρακτικών επαναληπτικής ∆ηµοπρασίας της Παροχής Υπηρεσιών: « Συντήρηση αγροτικών δρόµων της ∆ηµοτικής Ενότητας Λευκώνα, των Τοπικών Κοινοτήτων Ορεινής και Άνω Βροντούς έτους 2013»</t>
  </si>
  <si>
    <t>ΒΕ2ΨΩ10-Α6Χ</t>
  </si>
  <si>
    <t>Έγκριση πρακτικών δηµοπρασίας για την εκµίσθωση του αγροτεµαχίου Σχολικού Κλήρου και 80 ελαιόδεντρων της Τοπικής Κοινότητας Ελαιώνα</t>
  </si>
  <si>
    <t>ΒΕΑΛΩ10-1ΡΗ</t>
  </si>
  <si>
    <t>Έγκριση πρακτικών δηµοπρασίας για την εκµίσθωση του αγροτεµαχίου Σχολικού Κλήρου ∆. Σερρών (συνοικισµού Κρίνου)</t>
  </si>
  <si>
    <t>Έγκριση πρακτικών δηµοπρασίας για την εκµίσθωση του υπ’ αριθµ. 167 αγροτεµαχίου Σχολικού Κλήρου Τοπικής Κοινότητας Κ. Καµήλας</t>
  </si>
  <si>
    <t>ΒΕΑΛΩ10-ΨΜΕ</t>
  </si>
  <si>
    <t>Προµήθεια µικροφώνου για τις ανάγκες των τελετών των καθιερωµένων επετείων εκ του Γραφείου Τύπου και διάθεση πίστωσης για την δηµοσίευση της περίληψης της κανονιστικής απόφασης 665/2012</t>
  </si>
  <si>
    <t>ΒΕΑΛΩ10-ΚΤΑ</t>
  </si>
  <si>
    <t>Έγκριση δαπάνης α) ποσού39,36 € για την δηµοσίευση της περίληψης της απόφασης 720/2012 µε θέµα: « Ψήφιση κανονιστικής διάταξης δικτύου οπτικών ινών ∆ήµου Σερρών», β) ποσού39,36 € για την δηµοσίευση της περίληψης της απόφασης 710/2012 µε θέµα: « Καθορισµός τελών κατάληψης κοινόχρηστου χώρου εδάφους και υπεδάφους» και γ) ποσού 39,36 € για την δηµοσίευση της περίληψης της απόφασης711/2012 µε θέµα: «Έγκριση αναπροσαρµογής συντελεστών τελών διαφήµισης» σε τοπική εφηµερίδα και ψήφιση σχετικής πίστωσης</t>
  </si>
  <si>
    <t>ΒΕΑΛΩ10-ΣΧ9</t>
  </si>
  <si>
    <t>Εκπροσώπηση του ∆ήµου στο Συµβούλιο της Επικρατείας</t>
  </si>
  <si>
    <t>ΒΕ2ΨΩ10-ΣΒ4</t>
  </si>
  <si>
    <t>Έγκριση πρακτικών ∆ηµοπρασίας του έργου: «Ανάπλαση Κοινοχρήστων Χώρων Κοινότητας Ορεινής»</t>
  </si>
  <si>
    <t>ΒΕΑΛΩ10-Ζ5Ζ</t>
  </si>
  <si>
    <t>Έγκριση µελέτης µε τίτλο: «Τεχνικές µελέτες βελτίωσης ενεργειακής απόδοσης 5ου ∆ηµοτικού Σχολείου ∆ήµου Σερρών µε την υλοποίηση δράσεων εξοικονόµησης ενέργειας και την εγκατάσταση συστήµατος αβαθούς γεωθερµίας»</t>
  </si>
  <si>
    <t>ΒΕΑΛΩ10-Ο1Ζ</t>
  </si>
  <si>
    <t>Έγκριση µελέτης µε τίτλο: « Τεχνικές µελέτες Πρότυπο επιδεικτικό έργο εφαρµογών Ανανεώσιµων Πηγών Ενέργειας στο 20ο ∆ηµοτικό Σχολείο Σερρών»</t>
  </si>
  <si>
    <t>ΒΕ26Ω10-ΧΗΟ</t>
  </si>
  <si>
    <t>∆ιάθεση σχετικής πίστωσης για την εκτέλεση της παροχής υπηρεσίας µε τίτλο: « Οργάνωση, ∆ιαχείριση και Συντήρηση χώρων πρασίνου της ∆ηµοτικής Ενότητας Σερρών του ∆ήµου Σερρών»</t>
  </si>
  <si>
    <t>ΒΕΑΛΩ10-2Ε9</t>
  </si>
  <si>
    <t>Ορισµός δικηγόρου νοµικής Υπηρεσίας του ∆ήµου µας για την εκπροσώπησή του ενώπιον του εφετείου Θεσσαλονίκης για την έφεση των Κλιάµπα Παύλου και Κλιάµπα Ηλία κατά την 11η Ιουνίου 2013</t>
  </si>
  <si>
    <t>ΒΕΑΛΩ10-ΣΤΧ</t>
  </si>
  <si>
    <t>Ψήφιση πίστωσης δαπάνης κατάθεσης ειδικού προστίµου για την υπαγωγή στις ρυθµίσεις του Ν.4014/2011 του ∆ηµοτικού Αναψυκτηρίου στην κοινότητα Επταµύλων του ∆ήµου Σερρών</t>
  </si>
  <si>
    <t>Τµήµα Οικοδοµικών Έργων του ∆ήµου</t>
  </si>
  <si>
    <t>ΒΕΑ5Ω10-ΔΨΙ</t>
  </si>
  <si>
    <t>Εξέταση ενστάσεων κατά του ΠΡΑΚΤΙΚΟΥ Ι της Επιτροπής ∆ιαγωνισµού για την ανάθεση σύµβασης µελέτης µε τίτλο: «ΜΕΛΕΤΗ ΕΠΕΜΒΑΣΕΩΝ ΕΞΟΙΚΟΝΟΜΗΣΗΣ ΕΝΕΡΓΕΙΑΣ ΣΕ ∆ΗΜΟΤΙΚΑ ΚΤΙΡΙΑ»</t>
  </si>
  <si>
    <t>ΒΕΙΕΩ10-ΒΩΕ</t>
  </si>
  <si>
    <t>Έγκριση 1ου Πρακτικού της « Παροχής τουριστικών υπηρεσιών έκδοσης εισιτηρίων και µεταφοράς, φιλοξενίας, διατροφής, µετακίνησης και ξενάγησης στο πλαίσιο διοργάνωσης της Πανεπιστηµιάδας Θεάτρου στο ∆ήµο Σερρών για το έτος 2013 »</t>
  </si>
  <si>
    <t>ΒΕ26Ω10-ΡΚ4</t>
  </si>
  <si>
    <t>Έγκριση 2ου Πρακτικού της«παροχής υπηρεσιών υποστήριξης για τη διοργάνωση της Πανεπιστηµιάδας Θεάτρου στο ∆ήµο Σερρών έτους 2013»</t>
  </si>
  <si>
    <t>Επιτροπή ∆ιενέργειας και Αξιολόγησης Προσφορών του ∆ήµου</t>
  </si>
  <si>
    <t>ΒΕ2ΨΩ10-Ρ2Ψ</t>
  </si>
  <si>
    <t>Έγκριση όρων διακήρυξης του έργου: « Τσιµεντόστρωση– Ασφαλτόστρωση και κατασκευή πεζοδροµίων στην τοπική κοινότητα Βαµβακιάς»</t>
  </si>
  <si>
    <t>ΒΕ2ΨΩ10-4ΝΕ</t>
  </si>
  <si>
    <t>Έγκριση 2ου πρακτικού του διαγωνισµού του έργου: «Κοινωνικό Ολοκληρωµένο Πληροφοριακό Σύστηµα του ∆ήµου Σερρών»</t>
  </si>
  <si>
    <t>ΒΕ2ΨΩ10-Θ33</t>
  </si>
  <si>
    <t>Έγκριση εκτέλεσης των εργασιών: « ∆ιαµόρφωση χώρου πλατείας Τοπ. Κοιν. Αγίας Ελένης», έγκριση ανάθεσης εκτέλεσής του και διάθεση πιστώσεών του</t>
  </si>
  <si>
    <t>Τµήµα Οικοδ. Έργων του ∆ήµου</t>
  </si>
  <si>
    <t>ΒΕ2ΨΩ10-ΣΡΞ</t>
  </si>
  <si>
    <t>Έγκριση δαπάνης ενός(1) Αναλυτή καυσαερίων και ενός (1) ολοκληρωτικού Ηχόµετρου τύπου Ι και καθορισµός τρόπου εκτέλεσης αυτών</t>
  </si>
  <si>
    <t>ΒΕ26Ω10-ΤΟΗ</t>
  </si>
  <si>
    <t>ΒΕ26Ω10-ΓΜΠ</t>
  </si>
  <si>
    <t>Έγκριση και διάθεση πίστωσης για την εξόφληση των ληξιπρόθεσµων οφειλών του ∆ήµου Σερρών</t>
  </si>
  <si>
    <t>ΒΕ2ΨΩ10-ΑΥΜ</t>
  </si>
  <si>
    <t>Έγκριση πρακτικών ∆ηµοπρασίας του έργου: «Εργασίες Οδοστρωσίας Έτους 2013»</t>
  </si>
  <si>
    <t>ΒΕ26Ω10-ΛΓΟ</t>
  </si>
  <si>
    <t>Ανάκληση της 681/2012 Απόφασης Οικονοµικής Επιτροπής του ∆ήµου Σερρών</t>
  </si>
  <si>
    <t>ΒΕΙΛΩ10-ΛΩΓ</t>
  </si>
  <si>
    <t>Χορήγηση οικονοµικού βοηθήµατος</t>
  </si>
  <si>
    <t>Τµήµα Κοινωνικής Προστασίας του ∆ήµου</t>
  </si>
  <si>
    <t>ΒΕ26Ω10-ΩΞΠ</t>
  </si>
  <si>
    <t>Ανάκληση της 679/2012 Απόφασης Οικονοµικής Επιτροπής του ∆ήµου Σερρών</t>
  </si>
  <si>
    <t>ΒΕ27Ω10-ΧΨΧ</t>
  </si>
  <si>
    <t>Έγκριση δαπάνης προµήθειας και διάθεση σχετικής πίστωσης ανταλλακτικών για τον Προωθητήρα ΓΑΙΩΝ</t>
  </si>
  <si>
    <t>ΒΕΑΚΩ10-ΑΕΣ</t>
  </si>
  <si>
    <t>Εντολή παράστασης δικηγόρου του ∆ήµου κατά εκδίκασης αίτησης Ασφαλιστικών Μέτρων</t>
  </si>
  <si>
    <t>∆ιεύθυνση Καθαριότητος του ∆ήµου</t>
  </si>
  <si>
    <t>ΒΕΑΚΩ10-ΟΒΘ</t>
  </si>
  <si>
    <t>Εντολή παράστασης δικηγόρου του ∆ήµου κατά εκδίκασης Αίτησης Ασφαλιστικών Μέτρων της εταιρείας ΤΑΣΚΟΥ∆ΗΣ Ν.-ΓΚΑΤΖΙΟΣ Φ. Ο.Ε.</t>
  </si>
  <si>
    <t>ΒΕΑΚΩ10-3Σ2</t>
  </si>
  <si>
    <t>Ψήφιση πιστώσεων προϋπολογισµού2013 – Μεταφορά µαθητών</t>
  </si>
  <si>
    <t>ΒΕΑΚΩ10-0Ψ2</t>
  </si>
  <si>
    <t>Έγκριση καταβολής ποσού 4.612,50 € στον δικηγόρο κ. Πάνο Ζυγούρη για εκπροσώπηση του ∆ήµου Σερρών στον Άρειο Πάγο</t>
  </si>
  <si>
    <t>ΒΕΑΦΩ10-669</t>
  </si>
  <si>
    <t>ΒΕΑΥΩ10-ΨΘ3</t>
  </si>
  <si>
    <t>Όροι εκµίσθωσης ακινήτου για τις ανάγκες στέγασης του ∆ΗΠΕΘΕ Σερρών</t>
  </si>
  <si>
    <t>ΒΕΑΙΩ10-Ρ9Θ</t>
  </si>
  <si>
    <t>Έγκριση και διάθεση πίστωσης για τη δαπάνη συντήρησης µηχανηµάτων ελεγχόµενης στάθµευσης για το χρονικό διάστηµα από 27/12/2012 έως 26/3/2013 σύµφωνα µε την αρ. 29022/2012 σύµβαση</t>
  </si>
  <si>
    <t>ΒΕΑΤΩ10-Η7Κ</t>
  </si>
  <si>
    <t>Έγκριση και διάθεση πίστωσης του ποσού κατάσχεσης από την Τσιάµη Σεβαστή και από την εταιρεία Κ/Ξ Α. Καλογερόπουλος- Μ. Χατζηστυλιανός.</t>
  </si>
  <si>
    <t>ΒΕΙΨΩ10-7Θ5</t>
  </si>
  <si>
    <t>Συγκρότηση επιτροπών του άρθρου 46 του ΕΚΠΟΤΑ</t>
  </si>
  <si>
    <t>ΒΕΑΤΩ10-59Ρ</t>
  </si>
  <si>
    <t>Παροχή νοµικής κάλυψης σε υπαλλήλους του ∆ήµου Σερρών.</t>
  </si>
  <si>
    <t>ΒΕΑΦΩ10-Δ39</t>
  </si>
  <si>
    <t>Ανάκληση της 680/2013 Α.Ο.Ε. του ∆ήµου Σερρών.</t>
  </si>
  <si>
    <t>ΒΕΑΦΩ10-ΓΝ3</t>
  </si>
  <si>
    <t>Έγκριση πρακτικών ∆ηµοπρασίας του έργου: «Συντηρήσεις Οδικού ∆ικτύου ∆ήµου Σερρών έτους 2013 και επαναδηµοπράτησή του.»</t>
  </si>
  <si>
    <t>ΒΕΑΙΩ10-ΡΨΞ</t>
  </si>
  <si>
    <t>Έγκριση και διάθεση πίστωσης για την εξόφληση της 6ης εντολής πληρωµής του έργου: Ανέγερση ∆ηµαρχείου ∆ήµου Σκουτάρεως (β΄ φάση)</t>
  </si>
  <si>
    <t>ΒΕΑΥΩ10-ΙΧΨ</t>
  </si>
  <si>
    <t>Έγκριση και διάθεση πίστωσης για την οφειλή έτους 2012 του ∆ήµου Σερρών που αφορά επιδότηση πρώτης κατοικίας.</t>
  </si>
  <si>
    <t>ΒΕΑ5Ω10-Ν53</t>
  </si>
  <si>
    <t>Έγκριση 1ου Πρακτικού της παροχής υπηρεσιών «Ενηµέρωση και ∆ιαφήµιση στο Πλαίσιο ∆ιοργάνωσης της Πανεπιστηµιάδας Θεάτρου στο ∆ήµο Σερρών έτους 2013».</t>
  </si>
  <si>
    <t>ΒΕΑΥΩ10-0ΥΓ</t>
  </si>
  <si>
    <t>Έγκριση 1ου πρακτικού της Επιτροπής ∆ιενέργειας ∆ιαγωνισµού και αξιολόγησης προσφορών παροχής υπηρεσιών του έργου: « Παροχή υπηρεσιών τεχνικής υποστήριξης της υλοποίησης του ΣΧΥ και Έκδοση ενεργειακών πιστοποιητικών (ΚΕΝΑΚ)», Προϋπολογισµού: 67.132,22 € συµπεριλαµβανοµένου ΦΠΑ</t>
  </si>
  <si>
    <t>ΒΕΑΙΩ10-ΞΤ3</t>
  </si>
  <si>
    <t>Όροι δηµοπρασίας εκµίσθωσης των υπ’ αρ. 3525 &amp; 3526 αγροτεµαχίων του αγροκτήµατος Σερρών</t>
  </si>
  <si>
    <t>ΒΕΑΥΩ10-4Θ9</t>
  </si>
  <si>
    <t>Ορισµός δικηγόρου για την εκπροσώπηση του ∆ήµου µας την 16 η Μαϊου 2013 ενώπιον του ∆ιοικητικού Πρωτοδικείου Σερρών, στη συζήτηση της αίτησης- ακυρώσεως των Ζαλήµογλου κ.λ.π. κατά του ∆ήµου Σερρών, σχετικά µε την απαλλοτρίωση ιδιοκτησίας των εντός του Κεντρικού Πάρκου .</t>
  </si>
  <si>
    <t>ΒΕΑΥΩ10-Ψ1Χ</t>
  </si>
  <si>
    <t>Ορισµός δικηγόρου για την εκπροσώπηση του ∆ήµου µας την 16 η Μαϊου 2013 ενώπιον του ∆ιοικητικού Πρωτοδικείου Σερρών, στη συζήτηση της αίτησης- ακυρώσεως των Γλερίδη, Καραφώτη κ.λ.π. κατά του ∆ήµου Σερρών, σχετικά µε την απαλλοτρίωση ιδιοκτησίας των εντός του Κεντρικού Πάρκου</t>
  </si>
  <si>
    <t>ΒΕΥΦΩ10-ΨΧ0</t>
  </si>
  <si>
    <t>Μείωση ή όχι του Μισθώµατος του 19ου Νηπιαγωγείου Σερρών</t>
  </si>
  <si>
    <t>Τµήµα Παιδείας του ∆ήµου</t>
  </si>
  <si>
    <t>ΒΕΑΙΩ10-ΡΚ6</t>
  </si>
  <si>
    <t>Έγκριση όρων διακήρυξης του έργου: «∆ιαµόρφωση πάρκων και κοινοχρήστων χώρων Τ.Κ. Μητρουσίου »</t>
  </si>
  <si>
    <t>ΒΕΑΙΩ10-Ω3Η</t>
  </si>
  <si>
    <t>Έγκριση όρων διακήρυξης του έργου: «∆ιαµόρφωση κοινοχρήστων χώρων Τ.Κ. Καλών ∆έντρων»</t>
  </si>
  <si>
    <t>ΒΕΑΥΩ10-847</t>
  </si>
  <si>
    <t>Έγκριση 3ου Πρακτικού της Πράξης «Κοινωνικό ολοκληρωµένο πληροφοριακό σύστηµα του ∆ήµου Σερρών»</t>
  </si>
  <si>
    <t>Επιτροπή ∆ιενέργειας ∆ιαγωνισµού και αξιολόγησης προσφορών του ∆ήµου</t>
  </si>
  <si>
    <t>ΒΕΑΥΩ10-4ΔΔ</t>
  </si>
  <si>
    <t>Έγκριση πρακτικών δηµοπρασίας για την εκµίσθωση αγροτεµαχίων Κωνσταντινάτου</t>
  </si>
  <si>
    <t>ΒΕΑΥΩ10-Π1Ε</t>
  </si>
  <si>
    <t>Αποδοχή δωρεάς στα πλαίσια των Ελευθερίων του ∆ήµου Σερρών.</t>
  </si>
  <si>
    <t>Γραφείο ∆ηµάρχου του ∆ήµου</t>
  </si>
  <si>
    <t>ΒΕΑΥΩ10-ΧΩΘ</t>
  </si>
  <si>
    <t>Αποδοχή δωρεάς για την κοινωνική πολιτική του ∆ήµου Σερρών.</t>
  </si>
  <si>
    <t>ΒΕΑΙΩ10-Δ9Χ</t>
  </si>
  <si>
    <t>Έγκριση δαπάνης, έγκριση τεχνικών προδιαγραφών της προµήθειας λαµπτήρων και ηλεκτρολογικού έτους 2013 συνολικής δαπάνης 73.285,25 € και καθορισµός τρόπου εκτέλεσης– ανοικτός διαγωνισµός και όρων του διαγωνισµού.</t>
  </si>
  <si>
    <t>Τµήµα Η/Μ έργων του ∆ήµου</t>
  </si>
  <si>
    <t>ΒΕΑΦΩ10-Λ5Υ</t>
  </si>
  <si>
    <t>Ορισµός δικηγόρου νοµικής υπηρεσίας ∆ήµου για έλεγχο και ενέργειες για υπόθεση του Κεχαγιόγλου Ευστ.</t>
  </si>
  <si>
    <t>ΒΕΑΦΩ10-ΥΚ9</t>
  </si>
  <si>
    <t>Ορισµός δικηγόρου νοµικής υπηρεσίας ∆ήµου για έλεγχο και ενέργειες για υπόθεση πρώην υπαλλήλων</t>
  </si>
  <si>
    <t>ΒΕΑΦΩ10-ΘΙΩ</t>
  </si>
  <si>
    <t>∆ιάθεση πίστωσης του Προϋπολογιστικού Πίνακα: «Τοποθέτηση φωτιστικών σωµάτων στην πλατεία Εµπορίου στο χώρο της δηµοτικής αγοράς»</t>
  </si>
  <si>
    <t>Τµήµα Η/Μ Έργων του ∆ήµου</t>
  </si>
  <si>
    <t>ΒΕΙΕΩ10-Ρ4Κ</t>
  </si>
  <si>
    <t>Έγκριση όρων διακήρυξης του διαγωνισµού του Υποέργου 8 «Ενηµέρωση και ∆ιαφήµιση στο Πλαίσιο ∆ιοργάνωσης της Πανεπιστηµιάδας Θεάτρου στο ∆ήµο Σερρών έτους2013» της πράξης «∆ιοργάνωση της Πανεπιστηµιάδας Θεάτρου στο ∆ήµο Σερρών» (ΟΠΣ303618)</t>
  </si>
  <si>
    <t>ΒΕΑΙΩ10-1Ξ0</t>
  </si>
  <si>
    <t>Έγκριση διάθεσης και ψήφιση πίστωσης στον προϋπολογισµό έτους 2013 για Μισθώµατα Σχολικών Κτιρίων</t>
  </si>
  <si>
    <t>ΒΕΑ8Ω10-ΔΥ2</t>
  </si>
  <si>
    <t>Έγκριση και διάθεση πίστωσης για τις οφειλές έτους 2012 του ∆ήµου Σερρών που αφορούν έκτακτα προνοιακά επιδόµατα</t>
  </si>
  <si>
    <t>ΒΕ54Ω10-ΥΣΘ</t>
  </si>
  <si>
    <t>Έγκριση δαπάνης για την αποκατάσταση ιστού ηλεκτροφωτισµού και διάθεση σχετικής πίστωσης</t>
  </si>
  <si>
    <t>ΒΕ5ΟΩ10-ΛΘΨ</t>
  </si>
  <si>
    <t>Έγκριση µελέτης αρ. 57/2013 τη«Παροχή υπηρεσιών επέκτασης πληροφοριακού συστήµατος δυναµικής εκτίµησης του κινδύνου δασικής πυρκαγιάς (DFF- Risk) στα όρια του Καλλικρατικού ∆ήµου Σερρών στο πλαίσιο του έργου FOREST CITIES»</t>
  </si>
  <si>
    <t>ΒΕ54Ω10-ΕΣ1</t>
  </si>
  <si>
    <t>Έγκριση δαπάνης προµήθειας σφραγίδων και βιβλίων και διάθεση σχετικής πίστωσης</t>
  </si>
  <si>
    <t>ΒΕ54Ω10-9ΤΙ</t>
  </si>
  <si>
    <t>Ορισµός δικηγόρου του ∆ήµου Σερρών όπως καταθέσει αίτηση καθορισµού τιµής µονάδος αποζηµιώσεως για τµήµα του Κεντρικού Πάρκου του ∆ήµου Σερρών, ενώπιον του Μονοµελούς Πρωτοδικείου Σερρών</t>
  </si>
  <si>
    <t>ΒΕΑΖΩ10-56Β</t>
  </si>
  <si>
    <t>Έγκριση δαπάνης µίσθωσης εκσκαπτικού µηχανήµατος τύπου (POCLAIN), στο Χιονοχώρι Σερρών για το έτος 2012.</t>
  </si>
  <si>
    <t>Γραφείο Προµηθειών Τεχνικών Έργων του ∆ήµου</t>
  </si>
  <si>
    <t>ΒΕ54Ω10-Γ9Σ</t>
  </si>
  <si>
    <t>Αποδοχή ∆ωρεάς επίπλων από την Τράπεζα «Νέο Ταχυδροµικό Ταµιευτήριο Ελλάδος»</t>
  </si>
  <si>
    <t>Τµήµα ∆/κων ∆ιαδικασιών του ∆ήµου</t>
  </si>
  <si>
    <t>ΒΕΙΕΩ10-85Α</t>
  </si>
  <si>
    <t>Έγκριση όρων διακήρυξης του διαγωνισµού του Υποέργου 7 «Παροχή υπηρεσιών υποστήριξης για τη διοργάνωση της Πανεπιστηµιάδας Θεάτρου στο ∆ήµο Σερρών έτους2013» της πράξης «∆ιοργάνωση της Πανεπιστηµιάδας Θεάτρου στο ∆ήµο Σερρών » (ΟΠΣ303618)</t>
  </si>
  <si>
    <t>ΒΕ5ΩΩ10-ΤΡΓ</t>
  </si>
  <si>
    <t>Έγκριση καταβολής τριµήνων αποδοχών στους κ. Αλεξανδρίδη Αναστάσιο του Νικολάου, Μαρωνίτη Άγγελο του Ευσταθίου, Σιώπη Μιχαήλ του Θεοδώρου, Ρουστάνη Αλκιβιάδη του Κωνσταντίνου και Γκέγκα Κωνσταντίνο του Νικολάου πρώην ∆ηµοτικούς Υπαλλήλους λόγω συνταξιοδότησής τους</t>
  </si>
  <si>
    <t>ΒΕΝΔΩ10-ΩΡΞ</t>
  </si>
  <si>
    <t>ΒΕ54Ω10-6ΩΕ</t>
  </si>
  <si>
    <t>Απ’ ευθείας ανάθεση του έργου: « Αξιοποίηση πλακόστρωση πάρκου Τσαλαπάτα Τ.Κ. Κουβουκλίου», για το έτος2013, από πιστώσεις ΣΑΤΑ 2013 του ∆ήµου Σερρών</t>
  </si>
  <si>
    <t>ΒΕΑΖΩ10-ΟΥΙ</t>
  </si>
  <si>
    <t>Έγκριση δαπάνης (διάθεση πίστωσης) και ψήφισης των απαιτούµενων πιστώσεων συγχρηµατοδοτούµενων έργων για το έτος 2013</t>
  </si>
  <si>
    <t>ΒΕΑ8Ω10-Η5Ρ</t>
  </si>
  <si>
    <t>ΒΕ5ΟΩ10-ΡΡΒ</t>
  </si>
  <si>
    <t>Ανανέωση αδειών χρήσης«αντιικού» λογισµικού (antivirus) και προµήθεια επιπλέον αδειών</t>
  </si>
  <si>
    <t>ΒΕ5ΟΩ10-ΗΝΡ</t>
  </si>
  <si>
    <t>Ψήφιση πίστωσης ποσού 52,22 € ως συµπλήρωµατης αµοιβής του συµβολαιογράφου Σερρών κ. Λαϊνά Ιωάννη</t>
  </si>
  <si>
    <t>ΒΕΑΜΩ10-Δ74</t>
  </si>
  <si>
    <t>Έγκριση όρων διακήρυξης του έργου: «∆ιαµόρφωση χώρου κεντρικής πλατείας και πλατείας Αναγνωστοπούλου Τ.Κ. Προβατά».</t>
  </si>
  <si>
    <t>ΒΕ5ΟΩ10-98Ψ</t>
  </si>
  <si>
    <t>Επεκτάσεις/ Συµπληρώσεις δικτύου ΦΟΠ στην Τοπική Κοινότητα Καλών ∆ένδρων</t>
  </si>
  <si>
    <t>ΒΕ5ΟΩ10-6ΗΟ</t>
  </si>
  <si>
    <t>Επέκταση/ Συµπλήρωση δικτύου ΦΟΠ στην Τοπική Κοινότητα Βαµβακούσας</t>
  </si>
  <si>
    <t>ΒΕΑ8Ω10-Β98</t>
  </si>
  <si>
    <t>Ανάθεση του Προϋπολογιστικού Πίνακα και της τεχνικής περιγραφής των εργασιών«∆ιαµόρφωση χώρου πλατείας Τοπ. Κοιν. Αγίας Ελένης» και διάθεση (ψήφιση) πίστωσης</t>
  </si>
  <si>
    <t>ΒΕΑΜΩ10-ΓΥΓ</t>
  </si>
  <si>
    <t>Έγκριση όρων διακήρυξης του έργου: «Ασφαλτοστρώσεις δηµοτικής ενότητας Λευκώνα»</t>
  </si>
  <si>
    <t>ΒΕΑΜΩ10-ΓΟ6</t>
  </si>
  <si>
    <t>Ψήφιση και διάθεση πίστωσης για την υλοποίηση του έργου: « Εγκατάσταση φωτοβολταϊκών συστηµάτων σε σχολικά κτίρια του ∆ήµου Σερρών»</t>
  </si>
  <si>
    <t>ΒΕΑΖΩ10-ΑΞΣ</t>
  </si>
  <si>
    <t>Έγκριση δαπανών και διάθεση πίστωσης του έργου: «Συντήρηση οδικού δικτύου ∆ήµου Σερρών Έτους 2013»</t>
  </si>
  <si>
    <t>ΒΕΑ8Ω10-0Ρ5</t>
  </si>
  <si>
    <t>Έγκριση αποδέσµευσης πιστώσεων από αποφάσεις ανάληψης δαπάνης έτους 2013 και διάθεση πίστωσης για την εξόφληση διαφόρων οφειλών έτους 2012 του ∆ήµου Σερρών</t>
  </si>
  <si>
    <t>ΒΕΑΜΩ10-ΞΔΧ</t>
  </si>
  <si>
    <t>Έγκριση πρακτικών ∆ηµοπρασίας του έργου: «Εργασίες Οδοστρωσίας Έτους 2013», Εξέταση ένστασης.</t>
  </si>
  <si>
    <t>ΒΕΑ5Ω10-ΥΩΔ</t>
  </si>
  <si>
    <t>Ψήφιση πίστωσης και έκδοση σχετικών ενταλµάτων για το θεσµό του Σχολικού Τροχονόµου</t>
  </si>
  <si>
    <t>Επιτροπή Πρωτοβάθµιας Εκπαίδευσης του ∆ήµου</t>
  </si>
  <si>
    <t>ΒΕΑΜΩ10-19Δ</t>
  </si>
  <si>
    <t>∆ιάθεση σχετικής πίστωσης α) για την εκτέλεση της παροχής υπηρεσίας µε Τίτλο: « Οργάνωση, ∆ιαχείριση και Συντήρηση χώρων πρασίνου της ∆ηµοτικής Ενότητας Καπετάν Μητρούση του ∆ήµου Σερρών» και β) για την εκτέλεση της παροχής υπηρεσίας µε Τίτλο: « Οργάνωση, ∆ιαχείριση και Συντήρηση χώρων πρασίνου της ∆ηµοτικής Ενότητας Λευκώνα&amp; των Τ.Κ. Ορεινής και Άνω Βροντούς του ∆ήµου Σερρών»</t>
  </si>
  <si>
    <t>ΒΕΑ8Ω10-6ΒΡ</t>
  </si>
  <si>
    <t>Μίσθωση µηχανηµάτων ήχου, στην πλατεία Ελευθερίας το βράδυ της Μεγάλης Παρασκευής, για την Περιφορά του Επιταφίου</t>
  </si>
  <si>
    <t>ΒΕΙΨΩ10-ΘΘΚ</t>
  </si>
  <si>
    <t>Έγκριση 1ου Πρακτικού της«Προµήθεια εξοπλισµού ειδικών σχολείων και τµηµάτων ένταξης ∆ήµου Σερρών»</t>
  </si>
  <si>
    <t>ΒΕΑΖΩ10-03Τ</t>
  </si>
  <si>
    <t>Έγκριση δαπάνης, διάθεση πίστωσης, έγκριση τεχνικών προδιαγραφών της προµήθειας οικοδοµικών υλικών έργων αυτεπιστασίας ∆ήµου Σερρών συνολικής δαπάνης 43.200,00 € και καθορισµός τρόπου εκτέλεσης– πρόχειρος διαγωνισµός</t>
  </si>
  <si>
    <t>ΒΕΑΖΩ10-Ψ55</t>
  </si>
  <si>
    <t>Έλεγχος δικαιολογητικών ανάδειξης αναδόχου της«παροχή υπηρεσιών υποστήριξης για τη διοργάνωση της Πανεπιστηµιάδας θεάτρου στο ∆ήµο Σερρών έτους 2013»</t>
  </si>
  <si>
    <t>Επιτροπή ∆ιενέργειας και Αξιολόγησης προσφορών ∆ιαγωνισµού του ∆ήµου</t>
  </si>
  <si>
    <t>ΒΕΑ8Ω10-0ΔΕ</t>
  </si>
  <si>
    <t>Έγκριση και διάθεση πίστωσης για προµήθειες και παροχές υπηρεσιών για την εργασία: «∆ιαµόρφωση Κοινοχρήστων Χώρων ∆ήµου Σερρών»</t>
  </si>
  <si>
    <t>ΒΕΑ8Ω10-Δ20</t>
  </si>
  <si>
    <t>Γνωµοδότηση για την πορεία του διαγωνισµού«Ενηµέρωση και ∆ιαφήµιση στο πλαίσιο της Πανεπιστηµιάδας Θεάτρου στο ∆ήµο Σερρών έτους 2013»</t>
  </si>
  <si>
    <t>Υπεύθυνος Προγράµµατος για την Πανεπιστηµιάδα θεάτρου στο ∆ήµο Σερρών</t>
  </si>
  <si>
    <t>ΒΕΝΗΩ10-8ΜΔ</t>
  </si>
  <si>
    <t>Έγκριση πρακτικών ∆ηµοπρασίας του έργου: «ΑΝΑΒΑΘΜΙΣΗ ΧΩΡΩΝ ΜΑΖΙΚΟΥ ΑΘΛΗΤΙΣΜΟΥ»</t>
  </si>
  <si>
    <t>Επιτροπή διενέργειας µειοδοτικού διαγωνισµού του ∆ήµου</t>
  </si>
  <si>
    <t>ΒΕΝΤΩ10-ΞΒ9</t>
  </si>
  <si>
    <t>Έγκριση εκτέλεσης του έργου: « Συντήρηση υδατοδεξαµενών Ορεινής» προϋπολογισµού 5.000,00 €.</t>
  </si>
  <si>
    <t>ΒΕΝΥΩ10-ΩΑΔ</t>
  </si>
  <si>
    <t>Έγκριση όρων διακήρυξης πρόχειρου διαγωνισµού και διάθεση σχετικής πίστωσης της Παροχής Υπηρεσιών µε Τίτλο: « Οργάνωση, ∆ιαχείριση και Συντήρηση χώρων πρασίνου της ∆ηµοτικής Ενότητας Σκουτάρεως του ∆ήµου Σερρών»</t>
  </si>
  <si>
    <t>ΒΕΝ8Ω10-ΖΦΒ</t>
  </si>
  <si>
    <t>Επιστροφή χρηµατικής εγγύησης αποκατάστασης τοµής εκσκαφής οδοστρώµατος</t>
  </si>
  <si>
    <t>ΒΕΝΤΩ10-ΦΒΗ</t>
  </si>
  <si>
    <t>Έγκριση τρόπου εκτέλεσης εργασιών που αφορά την επισκευή– συντήρηση της κεντρικής θέρµανσης του 2ου γυµνασίου, του νηπιαγωγείου Κ. Καµήλας και Καλών ∆ένδρων.</t>
  </si>
  <si>
    <t>ΒΕΝΔΩ10-Ι3Ο</t>
  </si>
  <si>
    <t>Έγκριση διάθεσης πίστωσης για την προµήθεια λαµπτήρων και διάθεση σχετικής πίστωσης</t>
  </si>
  <si>
    <t>ΒΕΙ6Ω10-0Κ1</t>
  </si>
  <si>
    <t>∆ιάθεση πίστωσης µε τίτλο«Οργανισµός Προσχολικής Αγωγής, Κοινωνικής Πολιτικής και Αθλητισµού»</t>
  </si>
  <si>
    <t>ΒΕΝΤΩ10-3ΤΚ</t>
  </si>
  <si>
    <t>Έγκριση δαπάνης, διάθεση πίστωσης, έγκριση τεχνικών προδιαγραφών της προµήθειας ψυχρής ασφάλτου έτους 2013 συνολικής δαπάνης 14.985,70 € και καθορισµός τρόπου εκτέλεσης– πρόχειρος διαγωνισµός.</t>
  </si>
  <si>
    <t>ΒΕΝΔΩ10-ΦΡΤ</t>
  </si>
  <si>
    <t>Έγκριση δαπάνης για την προµήθεια και εγκατάσταση λέβητα και καυστήρα για το 3ο νηπιαγωγείο του ∆ήµου Σερρών, έγκριση της υπ’ αριθµ. 117/12 µελέτης</t>
  </si>
  <si>
    <t>ΒΕΝΥΩ10-ΗΞΨ</t>
  </si>
  <si>
    <t>Έγκριση και διάθεση πίστωσης για την αποµαγνητοφώνηση των συνεδριάσεων του ∆ηµοτικού Συµβουλίου και την καταβολή δαπάνης από την αναπροσαρµογή ενοικίου του µισθώµατος των πρώην γραφείων του ΚΕΠ ∆ήµου Σερρών</t>
  </si>
  <si>
    <t>ΒΛΛΘΩ10-ΛΕ8</t>
  </si>
  <si>
    <t>Ορισµός δικηγόρου νοµικής υπηρεσίας ∆ήµου για έλεγχο και ενέργειες για την υπόθεση του κ. Βέρρου Κωνσταντίνου, ΕΞΩ∆ΙΚΟΣ ΣΥΜΒΙΒΑΣΜΟΣ.</t>
  </si>
  <si>
    <t>ΒΕΝΗΩ10-ΨΙ0</t>
  </si>
  <si>
    <t>Επιδότηση µεταφοράς µαθητών πρωτοβάθµιας και δευτεροβάθµιας εκπαίδευσης ∆ήµου Σερρών</t>
  </si>
  <si>
    <t>ΒΕ56Ω10-ΝΔΛ</t>
  </si>
  <si>
    <t>Έγκριση δαπάνης και τεχνικών προδιαγραφών, καθορισµός τρόπου εκτέλεσης (πρόχειρος διαγωνισµός) και συγκρότηση επιτροπής αξιολόγησης των τεχνικών και οικονοµικών προσφορών του διαγωνισµού της «Προµήθειας εξοπλισµού στο πλαίσιο του έργου EASYTRIP»</t>
  </si>
  <si>
    <t>ΒΕΝΤΩ10-392</t>
  </si>
  <si>
    <t>Έγκριση δαπανών, διάθεση πιστώσεων διαφόρων προµηθειών.</t>
  </si>
  <si>
    <t>ΒΕΝ2Ω10-9ΝΨ</t>
  </si>
  <si>
    <t>Ορισµός δικηγόρου νοµικής υπηρεσίας ∆ήµου για έλεγχο και ενέργειες για την υπόθεση της Τράπεζας Πειραιώς που αφορά υπόθεση της εταιρείας¨SUPER SPORT Α.Ε.¨</t>
  </si>
  <si>
    <t>ΒΕΝΥΩ10-ΚΥ4</t>
  </si>
  <si>
    <t>Έγκριση δαπάνης, έγκριση τεχνικών προδιαγραφών της προµήθειας ειδών καθαριότητας έτους 2013 συνολικής δαπάνης 13.702,08 € και καθορισµός τρόπου εκτέλεσης– πρόχειρος διαγωνισµός</t>
  </si>
  <si>
    <t>ΒΕΝΔΩ10-ΑΕΩ</t>
  </si>
  <si>
    <t>Ορισµός δικηγόρου νοµικής υπηρεσίας του ∆ήµου για την εκπροσώπησή του ενώπιον του Τριµελούς ∆ιοικητικού Εφετείου Θεσσαλονίκης στην αγωγή του κ. ΠΕΧΛΙΒΑΝΙ∆Η ΒΕΝΕ∆ΙΚΤΟΥ</t>
  </si>
  <si>
    <t>ΒΕΙ7Ω10-Ο1Ζ</t>
  </si>
  <si>
    <t>Όροι εκµίσθωσης δηµοτικής έκτασης στο Χριστός</t>
  </si>
  <si>
    <t>Τµήµα Προσόδων και ∆ηµόσιας Περιουσίας του ∆ήµου</t>
  </si>
  <si>
    <t>ΒΕΝΤΩ10-9ΨΝ</t>
  </si>
  <si>
    <t>Εκτέλεση µε απ’ ευθείας ανάθεση του έργου: «Κατασκευή σωληνωτών αγωγών – φρεατίων και αρδευτικής τάφρου»</t>
  </si>
  <si>
    <t>ΒΕΝΕΩ10-ΔΗ3</t>
  </si>
  <si>
    <t>Έλεγχος δικαιολογητικών ανάδειξης αναδόχου του έργου: « Ολοκλήρωση κοινοτικού καταστήµατος Ορεινής για την συστέγαση Υπηρεσιών»</t>
  </si>
  <si>
    <t>ΒΕΝΗΩ10-ΖΓΞ</t>
  </si>
  <si>
    <t>Έγκριση 2ου Πρακτικού της «Προµήθεια εξοπλισµού ειδικών σχολείων και τµηµάτων ένταξης ∆ήµου Σερρών, Εξέταση ενστάσεων».</t>
  </si>
  <si>
    <t>ΒΕΝΥΩ10-ΝΣ7</t>
  </si>
  <si>
    <t>Έγκριση πρακτικού διενέργειας του επαναληπτικού ανοικτού διαγωνισµού για την προµήθεια λογισµικού αγωνιστικής προσοµοίωσης για τον προσοµοιωτή µάρκας FOERST τύπου TUTOR, προσαρµοσµένο στην πίστα του αυτοκινητοδροµίου Σερρών προϋπολογισθείσας αξίας 33.210 € µε Φ.Π.Α.</t>
  </si>
  <si>
    <t>ΒΕΝΤΩ10-ΝΧΜ</t>
  </si>
  <si>
    <t>Πληρωµή προνοιακών επιδοµάτων διµήνου Μαρτίου– Απριλίου2013.</t>
  </si>
  <si>
    <t>Τµήµα Κοινωνικής Πολιτικής και Προγραµµάτων</t>
  </si>
  <si>
    <t>ΒΕΝΕΩ10-7ΞΕ</t>
  </si>
  <si>
    <t>Έγκριση πρακτικών ∆ηµοπρασίας του έργου: «Συντηρήσεις Οδικού ∆ικτύου ∆ήµου Σερρών Έτους 2013»</t>
  </si>
  <si>
    <t>ΒΕ56Ω10-ΞΚΤ</t>
  </si>
  <si>
    <t>Έγκριση υλοποίησης των δράσεων που αφορούν τις ενέργειες ∆ηµοσιότητας– Ενηµέρωσης – Ευαισθητοποίησης του Σχεδίου ∆ράσης «Τοπικό Σχέδιο για την απασχόληση στο ∆ήµο Σερρών» και διάθεση πίστωσης.</t>
  </si>
  <si>
    <t>ΒΕΝΗΩ10-ΧΨΝ</t>
  </si>
  <si>
    <t>Ένσταση της εταιρείας IM CONSTRUCTIONS ΕΠΕ κατά των όρων της διακήρυξης του διαγωνισµού για την προµήθεια λαµπτήρων και ηλεκτρολογικού υλικού</t>
  </si>
  <si>
    <t>ΒΕΥΜΩ10-Α16</t>
  </si>
  <si>
    <t>Έγκριση του 1ου Πρακτικού της«Προµήθειας γευµάτων για την σίτιση του Μουσικού Σχολείου Σερρών και εξέταση ενστάσεων.»</t>
  </si>
  <si>
    <t>ΒΕΝΕΩ10-Ε2Β</t>
  </si>
  <si>
    <t>Έλεγχος δικαιολογητικών ανάδειξης αναδόχου του έργου: « Αναπλάσεις κοινοχρήστων χώρων στον οικισµό Χιονοχωρίου ∆ήµου Σερρών»</t>
  </si>
  <si>
    <t>ΒΕΝ0Ω10-15Π</t>
  </si>
  <si>
    <t>Έγκριση της κατάστασης των οφειλών του ∆ήµου Σερρών που δεν περιλαµβάνονται στον πίνακα των ληξιπρόθεσµων και διάθεση- ψήφιση πίστωσης για την εξόφλησή τους</t>
  </si>
  <si>
    <t>ΒΕΝ5Ω10-ΝΙΜ</t>
  </si>
  <si>
    <t>Ορισµός δικηγόρου νοµικής υπηρεσίας του ∆ήµου µας για την εκπροσώπηση του ∆ήµου µας ενώπιον του Ειρηνοδικείου Σερρών κατά την εκδίκαση της υπόθεσης που αφορά αίτηση ασφαλιστικών µέτρων από τους κ. Λεπηνώτη Ιωάννη και Στέργιο κατά των κ. Θεοχάρη Ευάγγελο και Γαλάνη Απόστολο.</t>
  </si>
  <si>
    <t>ΒΕΝ5Ω10-ΛΓΧ</t>
  </si>
  <si>
    <t>Ορισµός δικηγόρου νοµικής υπηρεσίας του ∆ήµου µας για την Εκπροσώπηση του ∆ήµου µας ενώπιον του Πολυµελούς Πρωτοδικείου Σερρών που αφορά αγωγές υπαλλήλων της πρώην Νοµαρχιακής Αυτοδιοίκησης.</t>
  </si>
  <si>
    <t>ΒΕΧΟΩ10-3ΨΙ</t>
  </si>
  <si>
    <t>Ορισµός δικηγόρου νοµικής υπηρεσίας του ∆ήµου µας ώστε να καταθέσει αίτηση καθορισµού τιµής µονάδος αποζηµιώσεως ενώπιον του Μονοµελούς Πρωτοδικείου Σερρών.</t>
  </si>
  <si>
    <t>Τµήµα Ακίνητης Περιουσίας του ∆ήµου</t>
  </si>
  <si>
    <t>ΒΕΧΟΩ10-ΠΦ3</t>
  </si>
  <si>
    <t>Ορισµός δικηγόρου για την εκπροσώπησή µας ενώπιον του Ειρηνοδικείου Σερρών για την συζήτηση αγωγής του κ. Ανέστη Λαµπριανίδη κατοίκου Επταµύλων</t>
  </si>
  <si>
    <t>ΒΕΝ8Ω10-6ΛΞ</t>
  </si>
  <si>
    <t>Εκτέλεση έργου µε απευθείας ανάθεση«Έργα υποδοµής στο τέως στρατόπεδο Παπαλουκά».</t>
  </si>
  <si>
    <t>ΒΕΝ8Ω10-Μ7Δ</t>
  </si>
  <si>
    <t>Εκτέλεση έργου µε απευθείας ανάθεση«Κατασκευή πεζοδροµίου στην οδό Τσαµαδού»</t>
  </si>
  <si>
    <t>ΒΕΝΧΩ10-ΖΦ3</t>
  </si>
  <si>
    <t>Έγκριση και διάθεση πίστωσης α) ποσού500,00 ευρώ για την ΑΜΟΙΒΗ ΑΜΙΣΘΟΥ ΥΠΟΘΗΚΟΦΥΛΑΚΑ και β) για προµήθειες που αφορούν τα έργα «Συντήρηση Παιδικών χαρών», «Βελτίωση κυκλοφοριακών συνθηκών», «Επούλωση φθορών οδοστρώµατος», « Συντήρηση και επισκευή πεζοδροµίου», «Συντήρηση οδικής σήµανσης» και «Τσιµεντοστρώσεις πλακοστρώσεις κοινοχρήστων χώρων».</t>
  </si>
  <si>
    <t>ΒΕΝΧΩ10-93Μ</t>
  </si>
  <si>
    <t>Έγκριση 4ου Πρακτικού της Πράξης«Κοινωνικό ολοκληρωµένο Πληροφοριακό σύστηµα του ∆ήµου Σερρών»</t>
  </si>
  <si>
    <t>ΒΕΙΛΩ10-ΕΕ4</t>
  </si>
  <si>
    <t>∆ιάθεση πιστώσεων σύµφωνα µε το άρθρο160 του ∆ΚΚ(Ν. 3463/06)</t>
  </si>
  <si>
    <t>Τµήµα Η/Μ Έργων Ενεργειακών Εφαρµογών του ∆ήµου</t>
  </si>
  <si>
    <t>ΒΕΝΜΩ10-57Μ</t>
  </si>
  <si>
    <t>Έγκριση πρακτικών δηµοπρασίας του έργου: «ΤΣΙΜΕΝΤΟΣΤΡΩΣΗ- ΑΣΦΑΛΤΟΣΤΡΩΣΗ ΚΑΙ ΚΑΤΑΣΚΕΥΗ ΠΕΖΟ∆ΡΟΜΙΩΝ ΣΤΗΝ ΤΟΠΙΚΗ ΚΟΙΝΟΤΗΤΑ ΒΑΜΒΑΚΙΑΣ,»</t>
  </si>
  <si>
    <t>ΒΕΝΧΩ10-7ΕΖ</t>
  </si>
  <si>
    <t>Χάραξη µαρµάρινου πίνακα ∆ηµάρχων και διάθεση πίστωσης</t>
  </si>
  <si>
    <t>Γραφείο Τύπου του ∆ήµου</t>
  </si>
  <si>
    <t>ΒΕΧΟΩ10-Ψ3Λ</t>
  </si>
  <si>
    <t>Ορισµός δικηγόρου για την εκπροσώπησή µας ενώπιον του Μονοµελούς ∆ιοικητικού Πρωτοδικείου Σερρών.</t>
  </si>
  <si>
    <t>ΒΕΝΜΩ10-ΗΥ3</t>
  </si>
  <si>
    <t>Ψήφιση και διάθεση πίστωσης για την Συµµετοχή του ∆ήµου Σερρών στον εορτασµό της Παγκόσµιας Ηµέρας Περιβάλλοντος έτους 2013 (ECO FESTIVAL) ∆ήµου Σερρών.</t>
  </si>
  <si>
    <t>Τµήµα Περιβάλλοντος του ∆ήµου</t>
  </si>
  <si>
    <t>ΒΕΝΜΩ10-ΚΜ6</t>
  </si>
  <si>
    <t>Έγκριση δαπάνης τεχνικών προδιαγραφών µελέτης και καθορισµός τρόπου ανάθεσης της παροχής υπηρεσιών «Συµβούλου Τεχνικής Υποστήριξης του ∆ήµου Σερρών στο πλαίσιο του έργουENCLOSE (Ανάπτυξη και µετάφραση Σχεδίου Βιώσιµων Αστικών Εµπορευµατικών Μεταφορών) »</t>
  </si>
  <si>
    <t>Τµήµα Κυκλοφοριακού Σχεδιασµού του ∆ήµου</t>
  </si>
  <si>
    <t>ΒΕΝΜΩ10-Λ2Κ</t>
  </si>
  <si>
    <t>Έγκριση δαπάνης τεχνικών προδιαγραφών µελέτης και Καθορισµός τρόπου ανάθεσης της παροχής υπηρεσιών «Συµβούλου Τεχνικής Υποστήριξης του ∆ήµου Σερρών στο πλαίσιο του έργουENCLOSE (Μετάφραση υποστηρικτικού και ενηµερωτικού υλικού και άλλων παραδοτέων)»</t>
  </si>
  <si>
    <t>Tµήµα Κυκλοφοριακού Σχεδιασµού και Συγκοινωνίας του ∆ήµου</t>
  </si>
  <si>
    <t>ΒΕΝΜΩ10-ΩΑΥ</t>
  </si>
  <si>
    <t>Έγκριση δαπάνης της προµήθειας σακιδίων ψυχρής ασφάλτου συνολικής δαπάνης 942,50 €.</t>
  </si>
  <si>
    <t>ΒΕΧΟΩ10-ΝΚΚ</t>
  </si>
  <si>
    <t>Αντικατάσταση αναπληρωµατικού µέλους για τη συγκρότηση της επιτροπής διενέργειας διαγωνισµού ∆ηµοσίων Έργων, σύµφωνα µε τις διατάξεις της παρ. 1 του άρθρου21 του Ν. 3669/2008 &lt;&lt;Κύρωση της κωδικοποίησης της νοµοθεσίας κατασκευής δηµοσίων έργων&gt;&gt;, έτους 2013.</t>
  </si>
  <si>
    <t>ΒΕΝ8Ω10-ΗΟΔ</t>
  </si>
  <si>
    <t>∆ιάθεση πίστωσης για το έτος2013της εκπόνησης µελέτης µε τίτλο «ΜΕΛΕΤΗ ΠΕΡΙΒΑΛΛΟΝΤΙΚΩΝ ΕΠΙΠΤΩΣΕΩΝ ΓΙΑ ΤΗΝ ΤΡΟΠΟΠΟΙΗΣΗ ΤΩΝ ΠΕΡΙΒΑΛΛΟΝΤΙΚΩΝ ΟΡΩΝ ΤΟΥ ΧΥΤΑ ∆ΗΜΟΥ ΣΕΡΡΩΝ ΑΕΠΟ 5151/17.06.2008», «Τροποποίηση της µε αρ. πρωτ. 5945/19.07.2007 ΕΑΠΟ για την κατασκευή και λειτουργία του ΧΥΤΑ ∆ήµου Σερρών Ν. Σερρών ( Επέκταση - Έργα αποκατάστασης)»</t>
  </si>
  <si>
    <t>Tµήµα Περιβάλλοντος του ∆ήµου</t>
  </si>
  <si>
    <t>ΒΕΝ8Ω10-ΤΣ4</t>
  </si>
  <si>
    <t>Ορισµός δικηγόρου για εκδίκαση αγωγών υπαλλήλων για Επιδότηση αγοράς /ανέγερση κατοικίας σε παραµεθόριο περιοχή.</t>
  </si>
  <si>
    <t>ΒΕΥΥΩ10-ΚΩΥ</t>
  </si>
  <si>
    <t>∆ιάθεση και ψήφιση πίστωσης για τον προληπτικό αντιλυσσικό εµβολιασµό 9 εργαζοµένων στο Κυνοκοµείο του ∆ήµου Σερρών.</t>
  </si>
  <si>
    <t>Ιατρός Εργασίας του ∆ήµου</t>
  </si>
  <si>
    <t>ΒΕΧ4Ω10-ΩΘΖ</t>
  </si>
  <si>
    <t>Εκπροσώπηση του ∆ήµου Σερρών στο Μονοµελές Εφετείο Θεσσαλονίκης για εκδίκαση εργατικών διαφορών.</t>
  </si>
  <si>
    <t>ΒΕΝΜΩ10-ΙΔΒ</t>
  </si>
  <si>
    <t>Έλεγχος δικαιολογητικών ανάδειξης αναδόχου της παροχής υπηρεσιών «Αποκοµιδή απορριµµάτων της ∆.Ε. Κ. Μητρούση του ∆ήµου Σερρών» για τα έτη 2013-2014.</t>
  </si>
  <si>
    <t>ΒΕΖΕΩ10-ΔΔΟ</t>
  </si>
  <si>
    <t>ΕΓΚΡΙΣΗ ∆ΑΠΑΝΗΣ ΚΑΙ ΤΕΧΝΙΚΩΝ ΠΡΟ∆ΙΑΓΡΑΦΩΝ ΤΗΣ ΠΡΟΜΗΘΕΙΑΣ «ΑΝΤΑΛΛΑΚΤΙΚΩΝ ΜΗΧΑΝΗΜΑΤΩΝ ΚΑΙ ΑΥΤΟΚΙΝΗΤΩΝ ΤΟΥ ∆ΗΜΟΥ ΣΕΡΡΩΝ» ΣΥΝΟΛΙΚΗΣ ∆ΑΠΑΝΗΣ 229.650,23 € ΚΑΘΩΣ ΚΑΙ ΚΑΘΟΡΙΣΜΟΣ ΤΟΥ ΤΡΟΠΟΥ ΕΚΤΕΛΕΣΗΣ ΚΑΙ ΤΩΝ ΟΡΩΝ ΤΟΥ ∆ΙΑΓΩΝΙΣΜΟΥ.</t>
  </si>
  <si>
    <t>∆ήµος Σερρών</t>
  </si>
  <si>
    <t>ΒΕΝΧΩ10-ΤΣΨ</t>
  </si>
  <si>
    <t>Έγκριση δαπάνης ( διάθεση πίστωσης) και ψήφισης των απαιτούµενων πιστώσεων συγχρηµατοδοτούµενων έργων για το έτος 2013.</t>
  </si>
  <si>
    <t>ΒΕΖΚΩ10-ΖΣΔ</t>
  </si>
  <si>
    <t>Ορισµός δικηγόρου νοµικής υπηρεσίας του ∆ήµου µας για έλεγχο και ενέργειες για την υπόθεση της Κοινοπραξίας «ΧΑΡΜΑΝΑ ΚΕΡΑΣΙΑ– ΠΡΟ∆ΡΟΜΟΥ ΙΩΑΝΝΗΣ».</t>
  </si>
  <si>
    <t>ΒΕΖΚΩ10-8Χ6</t>
  </si>
  <si>
    <t>Ορισµός δικηγόρου νοµικής υπηρεσίας του ∆ήµου µας για έλεγχο και ενέργειες για την υπόθεση του κ. ΒΑΓΕΝΑ ΓΕΩΡΓΙΟΥ του ∆ΗΜΗΤΡΙΟΥ.</t>
  </si>
  <si>
    <t>Ορισµός δικηγόρου νοµικής υπηρεσίας του ∆ήµου µας για έλεγχο και ενέργειες για την υπόθεση του κ. ΝΑΚΑΧΤΣΗ ΚΛΕΑΝΘΗ του ΑΘΗΝΟ∆ΩΡΟΥ</t>
  </si>
  <si>
    <t>ΒΕΧΩΩ10-ΑΓΟ</t>
  </si>
  <si>
    <t>Ορισµός δικηγόρου νοµικής υπηρεσίας του ∆ήµου µας για έλεγχο και ενέργειες για την υπόθεση του κ. ΝΑΚΑΧΤΣΗ ΚΛΕΑΝΘΗ του ΑΘΗΝΟ∆ΩΡΟΥ.</t>
  </si>
  <si>
    <t>Ορισµός δικηγόρου νοµικής υπηρεσίας του ∆ήµου µας για έλεγχο και ενέργειες για την υπόθεση της οµόρρυθµης εταιρείας µε την επωνυµία«Β. ΜΠΟΥΖΙΩΤΗ- Γ. ΚΑΣΙΜΗΣ Ο.Ε</t>
  </si>
  <si>
    <t>ΒΕΥΣΩ10-Β25</t>
  </si>
  <si>
    <t>Έγκριση πρακτικών ∆ηµοπρασίας της παροχής υπηρεσιών µε τίτλο: «Κλάδεµα και κοπή δένδρων σε κοινόχρηστους χώρους ∆ηµοτικών Ενοτήτων Λευκώνα- Α. Βροντούς– Ορεινής του ∆ήµου Σερρών».</t>
  </si>
  <si>
    <t>ΒΕΧΩΩ10-Λ9Η</t>
  </si>
  <si>
    <t>Ορισµός δικηγόρου νοµικής υπηρεσίας του ∆ήµου µας για έλεγχο και ενέργειες για την υπόθεση του κ. ΓΙΑΝΤΣΙΟΥ ΙΩΑΝΝΗ.</t>
  </si>
  <si>
    <t>ΒΕΖΡΩ10-2ΨΛ</t>
  </si>
  <si>
    <t>Ορισµός δικηγόρου νοµικής υπηρεσίας του ∆ήµου µας για έλεγχο και ενέργειες για την υπόθεση της εταιρείας «Ο∆ΟΣΗΜΑΝΣΗ– ΚΩΝ/ΝΟΣ ΧΡΟΝΗΣ Α.Β.Ε.Ε»</t>
  </si>
  <si>
    <t>ΒΕΖΛΩ10-Ο8Β</t>
  </si>
  <si>
    <t>Έγκριση κατάθεσης προσφυγής κατά της αρ. πρωτ. 5885/10-5-2012 Απόφασης Γενικού Γραµµατέα Αποκεντρωµένης ∆ιοίκησης Μακεδονίας– Θράκης.</t>
  </si>
  <si>
    <t>ΒΕΖΡΩ10-ΠΙΗ</t>
  </si>
  <si>
    <t>Έγκριση πρακτικών δηµοπρασίας του έργου: «∆ιαµόρφωση κοινοχρήστων χώρων Τ.Κ. Καλών ∆έντρων».</t>
  </si>
  <si>
    <t>ΒΕΧΩΩ10-ΣΝΒ</t>
  </si>
  <si>
    <t>Εκπροσώπηση του ∆ήµου Σερρών στο ∆ιοικητικό Εφετείο Θεσσαλονίκης, περί ακύρωσης της απόφασης της Γενικής Γραµµατείας της Περιφέρειας Κεντρικής Μακεδονίας για υπαλλήλους του ∆ήµου Σερρών.</t>
  </si>
  <si>
    <t>ΒΕΖΕΩ10-ΙΚΨ</t>
  </si>
  <si>
    <t>ΕΓΚΡΙΣΗ ΠΡΑΚΤΙΚΟΥ ∆ΙΕΝΕΡΓΕΙΑΣ ΤΟΥ ΑΝΟΙΚΤΟΥ ∆ΙΑΓΩΝΙΣΜΟΥ ΓΙΑ ΤΗΝ ΠΡΟΜΗΘΕΙΑ ΑΝΥΨΩΤΙΚΩΝ ΣΥΣΤΗΜΑΤΩΝ ΓΙΑ Α.Μ.Ε.Α ΚΑΙ ΕΞΟΠΛΙΣΜΟΥ ΠΡΩΤΩΝ ΒΟΗΘΕΙΩΝ ΣΤΑ ΠΛΑΙΣΙΑ ΤΗΣ ΠΡΑΞΗΣSPORTS FOR ALL ΤΟΥ ∆ΗΜΟΥ ΣΕΡΡΩΝ ΚΑΙ ΕΠΑΝΑΛΗΨΗ ΤΟΥ ∆ΙΑΓΩΝΙΣΜΟΥ ΜΕ ΤΟΥΣ Ι∆ΙΟΥΣ ΟΡΟΥΣ</t>
  </si>
  <si>
    <t>ΒΕΖΡΩ10-ΨΥ7</t>
  </si>
  <si>
    <t>Έγκριση δαπάνης προµήθειας ανταλλακτικών για τα φωτοτυπικά µηχανήµατα, πινακίδων τοίχου και σφραγίδων για τις ανάγκες των Υπηρεσιών του ∆ήµου µας και διάθεση σχετικής πίστωσης.</t>
  </si>
  <si>
    <t>ΒΕΖΡΩ10-Χ94</t>
  </si>
  <si>
    <t>Έγκριση και διάθεση πίστωσης για τις οφειλές έτους 2012 του ∆ήµου Σερρών που αφορούν προµήθεια γάλακτος για τους µήνες Νοέµβριο και ∆εκέµβριο 2012.</t>
  </si>
  <si>
    <t>ΒΕΥΑΩ10-ΙΣΖ</t>
  </si>
  <si>
    <t>Έγκριση πρακτικών ∆ηµοπρασίας της παροχής υπηρεσιών µε τίτλο: «Κλάδεµα και κοπή δένδρων σε κοινόχρηστους χώρους ∆ηµοτικής Ενότητας Σκουτάρεως ∆ήµου Σερρών».</t>
  </si>
  <si>
    <t>ΒΕΖΡΩ10-ΥΙΩ</t>
  </si>
  <si>
    <t>Έγκριση πρακτικών δηµοπρασίας του έργου: « ∆ιαµόρφωση πάρκων και κοινοχρήστων χώρων Τ.Κ. Μητρουσίου».</t>
  </si>
  <si>
    <t>ΒΕΖΡΩ10-ΓΜΖ</t>
  </si>
  <si>
    <t>Έγκριση όρων διακήρυξης του έργου«Ασφαλτόστρωση ∆ηµοτικής Ενότητας Μητρουσίου».</t>
  </si>
  <si>
    <t>ΒΕΧΩΩ10-Ι42</t>
  </si>
  <si>
    <t>Έγκριση Ολοκληρωµένου Πλαισίου ∆ράσης ∆ήµου Σερρών (χωρίς τα Νοµικά Πρόσωπα) µεταβατικής περιόδου 2013.</t>
  </si>
  <si>
    <t>Τµήµα Προγραµµατισµού και Ανάπτυξης του ∆ήµου</t>
  </si>
  <si>
    <t>ΒΕΖΡΩ10-9ΗΙ</t>
  </si>
  <si>
    <t>Έγκριση δαπάνης και διάθεση πίστωσης για την παροχή υπηρεσιών µε τίτλο: « Αποκοµιδή απορριµµάτων ∆.Ε. Κ. Μητρούση του ∆ήµου Σερρών», για τα έτη 2013-2014.</t>
  </si>
  <si>
    <t>∆/νση Καθαριότητας του ∆ήµου</t>
  </si>
  <si>
    <t>ΒΕΖΕΩ10-Κ0Π</t>
  </si>
  <si>
    <t>Έγκριση διάθεσης ποσών που αφορούν στην πληρωµή των προνοιακών επιδοµάτων του ∆ήµου Σερρών.</t>
  </si>
  <si>
    <t>Τµήµα Κοινωνικής Πολιτικής του ∆ήµου</t>
  </si>
  <si>
    <t>ΒΕΖΡΩ10-Π6Ρ</t>
  </si>
  <si>
    <t>Έλεγχος δικαιολογητικών ανάδειξης αναδόχου του έργου: «Αναπλάσεις κοινοχρήστων χώρων στην Κοινότητα Ορεινής».</t>
  </si>
  <si>
    <t>ΒΕΖ0Ω10-41Λ</t>
  </si>
  <si>
    <t>Απάντηση στην προσφυγή του ΜΠΕΝΤΙΟΥΛΗ ΑΘΑΝΑΣΙΟΥ για την σίτιση του Μουσικού Σχολείου, από την Αποκεντρωµένη ∆ιοίκηση Μακεδονίας-Θράκης.</t>
  </si>
  <si>
    <t>ΒΕΖΡΩ10-ΥΕΥ</t>
  </si>
  <si>
    <t>Έκθεση εσόδων-εξόδων Α΄ Τριµήνου 2013 για τον έλεγχο υλοποίησης του προϋπολογισµού έτους 2013.</t>
  </si>
  <si>
    <t>ΒΕΖΚΩ10-7ΞΝ</t>
  </si>
  <si>
    <t>Έγκριση κίνησης εσόδων-εξόδων Α΄ τριµήνου 2013, βάσει άρθρου48 Β.∆. 17/5-15/6/1959.</t>
  </si>
  <si>
    <t>Τµήµα Ειδικής Ταµιακής Υπηρεσίας του ∆ήµου</t>
  </si>
  <si>
    <t>ΒΕΙ6Ω10-7ΡΚ</t>
  </si>
  <si>
    <t>Ορισµός δικηγόρου της Νοµικής Υπηρεσίας του ∆ήµου µας για την εκπροσώπηση του ∆ήµου µας ενώπιον του Εφετείου Θεσσαλονίκης κατά την 4η Φεβρουαρίου2013 για υπόθεση των Μακάκη Εµµανουήλ και λοιπών</t>
  </si>
  <si>
    <t>ΒΕΥΣΩ10-200</t>
  </si>
  <si>
    <t>Έγκριση πρακτικών ∆ηµοπρασίας της παροχής υπηρεσιών µε τίτλο: «Κλάδεµα και κοπή δένδρων σε κοινόχρηστους χώρους ∆ηµοτικής Ενότητας Σερρών ∆ήµου Σερρών».</t>
  </si>
  <si>
    <t>ΒΕΖ0Ω10-8ΜΠ</t>
  </si>
  <si>
    <t>Έγκριση πρακτικών δηµοπρασίας του έργου «Οργάνωση, ∆ιαχείριση και Συντήρηση χώρων πρασίνου της ∆ηµοτικής Ενότητας Σκουτάρεως του ∆ήµου Σερρών»</t>
  </si>
  <si>
    <t>Επιτροπή διαγωνισµού του ∆ήµου</t>
  </si>
  <si>
    <t>Άσκηση ένδικων µέσων για την εξέταση του θέµατος «Αναβάθµιση υποδοµών Αυτοκινητοδροµίου και Πάρκου Κυκλοφοριακής Αγωγής ∆ήµου Σερρών»</t>
  </si>
  <si>
    <t>ΒΕΖΙΩ10-ΥΗ5</t>
  </si>
  <si>
    <t>Εξέταση ενστάσεων για εξαίρεση υπαλλήλων του ∆ήµου Σερρών από Πραγµατογνωµοσύνη για τις βλάβες του έργου «Αναβάθµιση Υποδοµών Αυτοκινητοδροµίου και Πάρκου Κυκλοφοριακής Αγωγής ∆ήµου Σερρών»</t>
  </si>
  <si>
    <t>Αίτηση υπαλλήλων του ∆ήµου Σερρών</t>
  </si>
  <si>
    <t>ΒΕΖΓΩ10-ΠΦΘ</t>
  </si>
  <si>
    <t>Έγκριση προµηθειών α) ενός κράνους και β) προστατευτικών πετασµάτων πλεξιγκλάς εκ του τµήµατος Προµηθειών</t>
  </si>
  <si>
    <t>ΒΕΖ0Ω10-Χ8Β</t>
  </si>
  <si>
    <t>Έλεγχος δικαιολογητικών ανάδειξης αναδόχου του έργου «Συντηρήσεις οδικού δικτύου ∆ήµου Σερρών έτους 2013 »</t>
  </si>
  <si>
    <t>Οικονομική Επιτροπή του Δήμου</t>
  </si>
  <si>
    <t>ΒΛΠΠΩ10-ΔΚ7</t>
  </si>
  <si>
    <t>Έγκριση διάθεσης πίστωσης για το έτος2013 για τα έργα: α) Μελέτη- κατασκευή-χρηµατοδότηση και παραχώρηση εκµετάλλευσης υπογείου σταθµού αυτοκινήτων στο Ο.Π. 181 του ∆ήµου Σερρών, β) ΑΝΑΚΑΤΑΣΚΕΥΗ Ο∆ΟΥ Γ. ΠΑΠΑΝ∆ΡΕΟΥ, γ) ∆ιαµόρφωση ΧΑ∆Α Κωνσταντινάτου, δ) Καθαρισµός- Συντήρηση υδροµαστεύσεων Ανω Βροντούς, ε) ∆ιαµόρφωση Κεντρικής Πλατείας Σκουτάρεως και ∆ιαµόρφωση Κεντρικής Πλατείας Κ. Καµήλας.</t>
  </si>
  <si>
    <t>ΒΕΖ0Ω10-7ΘΖ</t>
  </si>
  <si>
    <t>Έγκριση όρων διακήρυξης διαγωνισµού παροχής υπηρεσιών τεχνικής υποστήριξης στο πλαίσιο υλοποίησης της πράξης «SPORTS FOR ALL».</t>
  </si>
  <si>
    <t>ΒΕΖΓΩ10-ΙΛΠ</t>
  </si>
  <si>
    <t>Έγκριση 2ου Πρακτικού της Επιτροπής διενέργειας ∆ιαγωνισµού και αξιολόγησης προσφορών παροχής υπηρεσιών του έργου «Παροχή υπηρεσιών τεχνικής υποστήριξης της υλοποίησης του ΣΧΥ και Έκδοση ενεργειακών πιστοποιητικών (ΚΕΝΑΚ)», προϋπολογισµού 67.132,22 € συµπεριλαµβανοµένου Φ.Π.Α.</t>
  </si>
  <si>
    <t>ΒΕΖΓΩ10-ΧΣ5</t>
  </si>
  <si>
    <t>Έγκριση πρακτικού αξιολόγησης τεχνικής προσφοράς του ανοικτού διαγωνισµού για την προµήθεια Λογισµικού αγωνιστικής προσοµοίωσης για τον Προσοµοιωτή Μάρκας FOERST ΤύπουTUTOR προσαρµοσµένο στην πίστα του Αυτοκινητοδροµίου Σερρών.</t>
  </si>
  <si>
    <t>Επιτροπή Αξιολόγησης των τεχνικών προσφορών του ∆ήµου</t>
  </si>
  <si>
    <t>ΒΕΖΙΩ10-ΘΧΡ</t>
  </si>
  <si>
    <t>∆ιαβίβαση εγγράφου της Αποκεντρωµένης ∆ιοίκησης Μακεδονίας-Θράκης για ανάκληση της υπ. αριθ. 216/2013 απόφασης της Ο.Ε. περί «Εργασίες Οδοστρωσίας Έτους 2013».</t>
  </si>
  <si>
    <t>ΒΕΥΣΩ10-ΟΣ4</t>
  </si>
  <si>
    <t>Ανάθεση στη δικηγόρο του ∆ήµου να παραστεί ενώπιον του Τριµελούς ∆/κού Πρωτοδικείου Σερρών, κατά τη συζήτηση προσφυγών των κατά της αξίας ακινήτων για την επιβολή εισφοράς σε χρήµα του ∆ήµου, στην περιοχή Άγιοι Ανάργυροι.</t>
  </si>
  <si>
    <t>Τµήµα Υπηρεσίας ∆όµησης</t>
  </si>
  <si>
    <t>ΒΕΖΣΩ10-Υ60</t>
  </si>
  <si>
    <t>Ορισµός εµπειρογνώµονα για το έργο¨Αναβάθµιση υποδοµών Αυτοκινητοδροµίου και Πάρκου Κυκλοφοριακής Αγωγής ∆ήµου Σερρών» σύµφωνα µε το άρθρο 42 του Ν. 3669/2008.</t>
  </si>
  <si>
    <t>ΒΛ4ΞΩ10-61Ξ</t>
  </si>
  <si>
    <t>Γνωµοδότηση της νοµικού Συµβούλου κας Τσινίκα για την υπ. αριθ. 34/2013 απόφαση του Ειρηνοδικείου Σερρών και την µη κατάθεση ενδίκου µέσου.</t>
  </si>
  <si>
    <t>Νοµική Σύµβουλος του ∆ήµου</t>
  </si>
  <si>
    <t>ΒΕΖ8Ω10-Τ5Ψ</t>
  </si>
  <si>
    <t>Έγκριση 3ου Πρακτικού της Προµήθειας εξοπλισµού ειδικών Σχολείων και τµηµάτων ένταξης ∆ήµου Σερρών.</t>
  </si>
  <si>
    <t>ΒΕΖΣΩ10-ΨΞΧ</t>
  </si>
  <si>
    <t>Έγκριση προϋπολογιστικού πίνακα εκτέλεσης του έργου: «Τσιµεντοστρώσεις πλακοστρώσεις κοινοχρήστων χώρων του ∆ήµου µας έτους 2013» προϋπολογισµού 7.000,00 €.</t>
  </si>
  <si>
    <t>ΒΛ4ΚΩ10-Κ92</t>
  </si>
  <si>
    <t>Aνάθεση στη δικηγόρο του ∆ήµου να παραστεί ενώπιον του Μονοµελούς ∆/κού Πρωτοδικείου Σερρών, κατά την εκδίκαση αγωγής υπαλλήλων των πρώην ∆ηµοτικών Παιδικών Σταθµών του ∆ήµου Λευκώνα, προς προάσπιση των συµφερόντων του ∆ήµου.</t>
  </si>
  <si>
    <t>Τµήµα ∆/κών ∆ιαδικασιών του ∆ήµου</t>
  </si>
  <si>
    <t>ΒΛ41Ω10-ΔΚΞ</t>
  </si>
  <si>
    <t>Ανάθεση στην δικηγόρο του ∆ήµου να παραστεί στο ∆/κό Εφετείο Θεσσαλονίκης, κατά την συζήτηση της έφεσης που κατατέθηκε από τον ∆ήµο Σερρών κατά της αρ. 12/2010 απόφασης του Τριµελούς ∆/κού Πρωτοδικείου Σερρών και κατά του Μιχόπουλου Αθανασίου.</t>
  </si>
  <si>
    <t>Υπηρεσία ∆όµησης του ∆ήµου</t>
  </si>
  <si>
    <t>ΒΛ4ΗΩ10-Σ0Σ</t>
  </si>
  <si>
    <t>Ορισµός δικηγόρου νοµικής υπηρεσίας του ∆ήµου µας για την εκπροσώπηση του ∆ήµου µας στο ∆ιοικητικό Εφετείο Θεσ/νίκης κατά την συζήτηση της έφεσης που αφορά πράξη επιβολής εισφοράς σε χρήµα της ∆/νσης Πολεοδοµίας Περιβάλλοντος &amp; Κτηµατολογίου της Ν.Α. Σερρών, για το αριθ. 2005006 οικόπεδο στο Ο.Π. 859, συγκυριότητας του Τράκα Σταύρου του Νικολάου.</t>
  </si>
  <si>
    <t>ΒΛ4ΗΩ10-2ΩΘ</t>
  </si>
  <si>
    <t>Ορισµός δικηγόρου νοµικής υπηρεσίας του ∆ήµου µας για την εκπροσώπηση του ∆ήµου µας στο ∆ιοικητικό Εφετείο Θεσ/νίκης κατά την συζήτηση της έφεσης που αφορά πράξη επιβολής εισφοράς σε χρήµα της ∆/νσης Πολεοδοµίας Περιβάλλοντος &amp; Κτηµατολογίου της Ν.Α. Σερρών, για το αριθ. 03 οικόπεδο στο Ο.Π. 864, της Αµπατζή Μαρίας του Βασιλείου.</t>
  </si>
  <si>
    <t>ΒΛ4ΗΩ10-ΛΔΠ</t>
  </si>
  <si>
    <t>Ορισµός δικηγόρου νοµικής υπηρεσίας του ∆ήµου µας για την εκπροσώπηση του ∆ήµου µας στο ∆ιοικητικό Εφετείο Θεσ/νίκης κατά την συζήτηση της έφεσης που αφορά πράξη επιβολής εισφοράς σε χρήµα της ∆/νσης Πολεοδοµίας Περιβάλλοντος &amp; Κτηµατολογίου της Ν.Α. Σερρών, για το αριθ. 07 οικόπεδο στο Ο.Π. 865, της Αµπατζή Μαρίας του Βασιλείου.</t>
  </si>
  <si>
    <t>ΒΛ4ΗΩ10-3ΤΜ</t>
  </si>
  <si>
    <t>Ορισµός δικηγόρου νοµικής υπηρεσίας του ∆ήµου µας για την εκπροσώπηση του ∆ήµου µας στο ∆ιοικητικό Εφετείο Θεσ/νίκης κατά την συζήτηση της έφεσης που αφορά πράξη επιβολής εισφοράς σε χρήµα της ∆/νσης Πολεοδοµίας Περιβάλλοντος &amp; Κτηµατολογίου της Ν.Α. Σερρών, για το αριθ. 03 οικόπεδο στο Ο.Π. 370, συγκυριότητας της Σταµατίας χήρας ∆ηµητρίου Στεφανίδη.</t>
  </si>
  <si>
    <t>ΒΛ4ΗΩ10-Η2Σ</t>
  </si>
  <si>
    <t>Ορισµός δικηγόρου νοµικής υπηρεσίας του ∆ήµου µας για την εκπροσώπηση του ∆ήµου µας στο ∆ιοικητικό Εφετείο Θεσ/νίκης κατά την συζήτηση της έφεσης που αφορά πράξη επιβολής εισφοράς σε χρήµα της ∆/νσης Πολεοδοµίας Περιβάλλοντος &amp; Κτηµατολογίου της Ν.Α. Σερρών, για το αριθ. 01 οικόπεδο στο Ο.Π. 871, συγκυριότητας του κ. Κιοσσέ Γεωργίου του Κων/νου.</t>
  </si>
  <si>
    <t>ΒΛ41Ω10-0ΨΗ</t>
  </si>
  <si>
    <t>Ανάθεση στην δικηγόρο του ∆ήµου να παραστεί στο ∆/κό Εφετείο Θεσσαλονίκης, κατά την συζήτηση της έφεσης που κατατέθηκε από τον ∆ήµο Σερρών κατά της αρ. 2/2010 απόφασης του Τριµελούς ∆/κού Πρωτοδικείου Σερρών και κατά των Συµεών Χρυσούλας κ.λ.π.</t>
  </si>
  <si>
    <t>ΒΕΖΣΩ10-8Θ9</t>
  </si>
  <si>
    <t>Έλεγχος δικαιολογητικών ανάδειξης αναδόχου του έργου «Τσιµεντοστρώσεις - Ασφαλτοστρώσεις και κατασκευή πεζοδροµίων στην Τοπική Κοινότητα Βαµβακιάς»</t>
  </si>
  <si>
    <t>ΒΕΖΧΩ10-ΡΚΟ</t>
  </si>
  <si>
    <t>Εξέταση ένστασης κατά του πρακτικού διενέργειας του πρόχειρου ∆ιαγωνισµού για την προµήθεια ψυχρής ασφάλτου.</t>
  </si>
  <si>
    <t>ΒΛ4ΙΩ10-Ι24</t>
  </si>
  <si>
    <t>Εξέταση υποµνήµατος του Ε.∆.Ε. Μαντιού ∆ηµητρίου που αφορά την εκτέλεση του έργου«Εργασίες οδοστρωσίας έτους 2013»</t>
  </si>
  <si>
    <t>Ε.∆.Ε. κ. Μαντιού ∆ηµήτριος</t>
  </si>
  <si>
    <t>ΒΕΖ8Ω10-Ω07</t>
  </si>
  <si>
    <t>Έγκριση δαπάνης(διάθεση πίστωσης) και ψήφιση της υπόλοιπης απαιτούµενης πίστωσης ποσού 3.700,00 € της πράξης«Προώθηση της πολιτιστικής κληρονοµιάς των Βλάχων στις περιοχές των Σερρών καιKonce» ( µε ακρωνύµιο Prom –Cult), συνολικού προϋπολογισµού 223.700,00 € από το Πρόγραµµα ∆ιασυνοριακής Συνεργασίας ΙΡΑ«ΕΛΛΑ∆Α- FYROM 2007-2013»</t>
  </si>
  <si>
    <t>ΒΕΖΣΩ10-ΗΕ0</t>
  </si>
  <si>
    <t>Ορισµός Επιτροπής της παρ. 5 του άρθρου58 του Ν. 3669/2008 και έγκριση πρακτικού κλήρωσης ορισµού µελών επιτροπής.</t>
  </si>
  <si>
    <t>ΒΛ4ΞΩ10-6ΝΦ</t>
  </si>
  <si>
    <t>Ορισµός δικηγόρου νοµικής υπηρεσίας ∆ήµου για έλεγχο και ενέργειες για την υπ. αριθ. 284/2013 απόφαση του Ειρηνοδικείου Αθηνών, που αφορά το ΣΩΜΑ ΟΡΚΩΤΩΝ ΕΚΤΙΜΗΤΩΝ.</t>
  </si>
  <si>
    <t>Τµήµα Νοµικής Υπηρεσίας του ∆ήµου</t>
  </si>
  <si>
    <t>ΒΛΩ0Ω10-Ψ35</t>
  </si>
  <si>
    <t>Έγκριση πρακτικού δηµοπρασίας για την εκµίσθωση των υπ΄ αρ. 3525 &amp; 3526 αγροτεµαχίων του Αγροκτήµατος Σερρών.</t>
  </si>
  <si>
    <t>ΒΕΥΤΩ10-Λ05</t>
  </si>
  <si>
    <t>Έγκριση πρακτικών δηµοπρασίας του έργου«Συντήρηση αγροτικών δρόµων της ∆ηµοτικής Ενότητας Μητρουσίου έτους 2013»</t>
  </si>
  <si>
    <t>Επιτροπή ∆ιαγωνισµού του ∆ήµου</t>
  </si>
  <si>
    <t>ΒΛ4ΚΩ10-ΟΥΕ</t>
  </si>
  <si>
    <t>Έγκριση δαπανών και ψήφιση της σχετικής πίστωσης µισθωµάτων χώρου στέγασης του ΚΕΠ Λευκώνα στον προϋπολογισµό 2013.</t>
  </si>
  <si>
    <t>ΒΛ4ΩΩ10-022</t>
  </si>
  <si>
    <t>Έγκριση και διάθεση πίστωσης ποσού 369.328,41 ευρώ για την εξόφληση τιµολογίων που εκδόθηκαν µετά τις 30-06-2012.</t>
  </si>
  <si>
    <t>ΒΛ49Ω10-6ΟΦ</t>
  </si>
  <si>
    <t>Έγκριση δαπάνης, διάθεση πίστωσης και ορισµός αναδόχου µε απευθείας ανάθεση του προϋπολογιστικού πίνακα του έργου «∆ιαµόρφωση Κεντρικής πλατείας Άνω Καµήλας»</t>
  </si>
  <si>
    <t>ΒΛ4ΩΩ10-ΜΡΒ</t>
  </si>
  <si>
    <t>Έλεγχος δικαιολογητικών ανάδειξης αναδόχου της παροχής υπηρεσιών «Αποκοµιδή απορριµµάτων της ∆.Ε. Σερρών του ∆ήµου Σερρών» για τα έτη 2013-2014.</t>
  </si>
  <si>
    <t>ΒΛ4ΩΩ10-ΘΔΘ</t>
  </si>
  <si>
    <t>Έλεγχος δικαιολογητικών ανάδειξης αναδόχου της παροχής υπηρεσιών «Αποκοµιδή απορριµµάτων της ∆.Ε. Σκουτάρεως του ∆ήµου Σερρών» για τα έτη 2013-2014.</t>
  </si>
  <si>
    <t>ΒΛ46Ω10-ΗΦΧ</t>
  </si>
  <si>
    <t>Έλεγχος δικαιολογητικών ανάδειξης αναδόχου του έργου «Αναβάθµιση χώρων µαζικού αθλητισµού»</t>
  </si>
  <si>
    <t>ΒΛ49Ω10-ΝΩΩ</t>
  </si>
  <si>
    <t>Έλεγχος δικαιολογητικών ανάδειξης αναδόχου του έργου «∆ιαµόρφωση κοινοχρήστων χώρων Τ.Κ. Καλών ∆ένδρων»</t>
  </si>
  <si>
    <t>ΒΛ46Ω10-0Η5</t>
  </si>
  <si>
    <t>Συγκρότηση επιτροπών του άρθρου 46 του ΕΚΠΟΤΑ.</t>
  </si>
  <si>
    <t>ΒΕΥΜΩ10-2ΥΨ</t>
  </si>
  <si>
    <t>Έγκριση του 2ου Πρακτικού της επιτροπής διενέργειας διαγωνισµού της «Παροχής τουριστικών υπηρεσιών έκδοσης εισιτηρίων και µεταφοράς, φιλοξενίας, διατροφής, µετακίνησης και ξενάγησης στο πλαίσιο διοργάνωσης της Πανεπιστηµιάδας Θεάτρου στο ∆ήµο Σερρών για το έτος 2013».</t>
  </si>
  <si>
    <t>Πρόεδρος της Επιτροπής ∆ιενέργειας και Αξιολόγησης Προσφορών ∆ιαγωνισµού κ. Πασσιάς Ιωάννης</t>
  </si>
  <si>
    <t>ΒΛΒΠΩ10-ΘΥΠ</t>
  </si>
  <si>
    <t>Εξέταση ένστασης κατά του πρακτικού ∆ιενέργειας του Πρόχειρου διαγωνισµού για την προµήθεια οικοδοµικών Υλικών έργων αυτεπιστασίας ∆ήµου Σερρών.</t>
  </si>
  <si>
    <t>ΒΛ4ΡΩ10-ΓΦΤ</t>
  </si>
  <si>
    <t>Εκτέλεση έργου µε απευθείας ανάθεση «Ανακατασκευή Πεζοδροµίων στην οδό Προύσσης &amp; Εφέσου»</t>
  </si>
  <si>
    <t>ΒΛ4ΜΩ10-ΜΦΓ</t>
  </si>
  <si>
    <t>Εκτέλεση έργου µε απευθείας ανάθεση «Εργασίες βελτίωσης δικτύου φωτεινής σηµατοδότησης Πλατείας ∆ήµητρας Σερρών».</t>
  </si>
  <si>
    <t>ΒΛ4ΡΩ10-3ΑΧ</t>
  </si>
  <si>
    <t>Εκτέλεση έργου µε απευθείας ανάθεση «Συµπληρωµατικά έργα αναπλάσεων στην οδό Μ. Αλεξάνδρου - Β. Βασιλείου»</t>
  </si>
  <si>
    <t>ΒΛ4ΚΩ10-ΤΕΤ</t>
  </si>
  <si>
    <t>Έγκριση χορήγησης παράτασης εκµίσθωσης ή µη του 34ου και του 19ου Νηπιαγωγείων του ∆ήµου Σερρών.</t>
  </si>
  <si>
    <t>ΒΛ49Ω10-Ξ2Ο</t>
  </si>
  <si>
    <t>Ορισµός Επιτροπής παραλαβής φυσικού εδάφους για το έργο «ΑΝΑΠΛΑΣΕΙΣ ΚΟΙΝΟΧΡΗΣΤΩΝ ΧΩΡΩΝ ΣΤΟΝ ΟΙΚΙΣΜΟ ΧΙΟΝΟΧΩΡΙΟΥ ∆ΗΜΟΥ ΣΕΡΡΩΝ»</t>
  </si>
  <si>
    <t>ΒΛ4ΚΩ10-ΣΒΟ</t>
  </si>
  <si>
    <t>Ψήφιση και διάθεση πίστωσης ποσού 2.000,00 € για αµοιβές δικαστικών επιµελητών.</t>
  </si>
  <si>
    <t>ΒΛ4ΩΩ10-3ΔΤ</t>
  </si>
  <si>
    <t>Αντικατάσταση αναπληρωµατικού µέλους επιτροπής, λόγω Συνταξιοδότησης.</t>
  </si>
  <si>
    <t>ΒΛ4ΑΩ10-Μ0Ψ</t>
  </si>
  <si>
    <t>Αποδοχή τιµής µονάδος αποζηµίωσης για ρυµοτοµούµενα οικοπεδικά τµήµατα και επικείµενη οικία ιδιοκτησίας Κυνηγού Χρήστου.</t>
  </si>
  <si>
    <t>ΒΛ41Ω10-Ι4Μ</t>
  </si>
  <si>
    <t>Ανάθεση στην δικηγόρο του ∆ήµου να παραστεί ενώπιον του Ειρηνοδικείου Σερρών, κατά την εκδίκαση αγωγής της εταιρείας«Αν. Σιώπης- Π. Τρυφηνόπουλος Ο.Ε.», κατά του ∆ήµου Σερρών, προς προάσπιση των συµφερόντων του ∆ήµου.</t>
  </si>
  <si>
    <t>Τµήµα Λογιστηρίου του ∆ήµου</t>
  </si>
  <si>
    <t>ΒΕΥ2Ω10-9ΞΑ</t>
  </si>
  <si>
    <t>ΧΟΡΗΓΗΣΗ ΟΙΚΟΝΟΜΙΚΟΥ ΒΟΗΘΗΜΑΤΟΣ</t>
  </si>
  <si>
    <t>ΒΛ41Ω10-ΓΟ7</t>
  </si>
  <si>
    <t>Ανάθεση στην δικηγόρο του ∆ήµου να παραστεί ενώπιον του Ειρηνοδικείου Σερρών, κατά την εκδίκαση αγωγής του κ. Γουγούλη Ιωάννη του Νικολάου, κατά του ∆ήµου Σερρών, προς προάσπιση των συµφερόντων του ∆ήµου.</t>
  </si>
  <si>
    <t>ΒΛ4ΞΩ10-Ε9Ε</t>
  </si>
  <si>
    <t>Ορισµός δικηγόρου νοµικής υπηρεσίας του ∆ήµου µας για έλεγχο και ενέργειες για την υπόθεση του κ. ΑΡΤΖΟΓΛΟΥ ΙΩΑΝΝΗ του ΚΥΡΙΑΚΟΥ και την εκπροσώπηση του ∆ήµου µας στο Ειρηνοδικείο Σερρών κατά της αριθ. 144/2013 αγωγής του.</t>
  </si>
  <si>
    <t>ΒΛ4ΑΩ10-Ο69</t>
  </si>
  <si>
    <t>Ορισµός δικηγόρου νοµικής υπηρεσίας του ∆ήµου µας για έλεγχο και ενέργειες για την υπόθεση της εταιρείας«XERON HELLAS Α.Ε.Ε. ΕΜΠΟΡΙΑΣ ΣΥΣΤΗΜΑΤΩΝ ∆ΙΑΧΕΙΡΙΣΗΣ ΕΓΓΡΑΦΩΝ ΚΑΙ ΟΡΓΑΝΩΣΗΣ» µε έδρα την Αθήνα και την εκπροσώπηση του ∆ήµου µας στο Ειρηνοδικείο Αθηνών κατά αγωγής της για οφειλή του πρώην ∆ήµου Κ. Μητρούση.</t>
  </si>
  <si>
    <t>∆.Ε. Κ. Μητρουσίου του ∆ήµου</t>
  </si>
  <si>
    <t>ΒΛ4ΞΩ10-ΞΣ2</t>
  </si>
  <si>
    <t>Ορισµός δικηγόρου νοµικής υπηρεσίας του ∆ήµου µας για έλεγχο και ενέργειες για την υπόθεση του κ. ΧΑΤΖΗΓΕΩΡΓΙΑ∆Η ΓΕΩΡΓΙΟΥ του ΠΑΡΑΣΧΟΥ και την εκπροσώπηση του ∆ήµου µας στο Ειρηνοδικείο Σερρών κατά της αριθ. 382/2012 αγωγής του.</t>
  </si>
  <si>
    <t>ΒΛ4ΝΩ10-ΨΙΔ</t>
  </si>
  <si>
    <t>Ορισµός δικηγόρου νοµικής υπηρεσίας του ∆ήµου µας για έλεγχο και ενέργειες υπόθεσης εκδίκασης αγωγής υπαλλήλου του ∆ήµου µας και την εκπροσώπησή του στο Τριµελές ∆ιοικητικό Πρωτοδικείο Σερρών για εργατικό ατύχηµα.</t>
  </si>
  <si>
    <t>ΒΛΩΤΩ10-727</t>
  </si>
  <si>
    <t>Ορισµός δικηγόρου νοµικής υπηρεσίας του ∆ήµου µας για έλεγχο και ενέργειες της υπόθεσης εκδίκασης αγωγών για την πλήρωση θέσεων προσωπικού ύστερα από προκήρυξη του ∆ήµου Σερρών και εκπροσώπηση του ∆ήµου στο Τριµελές ∆ιοικητικό Πρωτοδικείο Σερρών.</t>
  </si>
  <si>
    <t>ΒΛ46Ω10-ΝΗ0</t>
  </si>
  <si>
    <t>Έγκριση–Επικαιροποίηση της υπ. αριθ. 12/2012 µελέτης για την προµήθεια µέσων ατοµικής προστασίας έτους 2012.</t>
  </si>
  <si>
    <t>ΒΛ49Ω10-ΜΛΚ</t>
  </si>
  <si>
    <t>Έλεγχος δικαιολογητικών ανάδειξης αναδόχου του έργου «∆ιαµόρφωση πάρκων και κοινοχρήστων χώρων Τ.Κ. Μητρουσίου».</t>
  </si>
  <si>
    <t>ΒΛ46Ω10-ΒΝΡ</t>
  </si>
  <si>
    <t>Έγκριση δαπάνης και τεχνικών προδιαγραφών της προµήθειας Τοπογραφικού εξοπλισµού ∆ήµου Σερρών συνολικής δαπάνης 11.400,00 € και καθορισµός τρόπου εκτέλεσης-ΠΡΟΧΕΙΡΟΣ ∆ΙΑΓΩΝΙΣΜΟΣ.</t>
  </si>
  <si>
    <t>ΒΛ4ΚΩ10-ΒΒΡ</t>
  </si>
  <si>
    <t>Παραγραφή από τους χρηµατικούς καταλόγους του ∆ήµου Σερρών αξιώσεων που βεβαιώθηκαν κατά τα έτη1982 έως και 2007 λόγω συµπλήρωσης του χρόνου παραγραφής που προβλέπει το άρθρο6 του ΑΝ344/68 και το άρθρο86 του Ν. 2362/95.</t>
  </si>
  <si>
    <t>ΒΕΥΤΩ10-7ΓΕ</t>
  </si>
  <si>
    <t>Ορισµός δικηγόρου νοµικής υπηρεσίας του ∆ήµου µας για την εκπροσώπησή του κατά την εξέταση µάρτυρα την 19η -2-2013 για υπόθεση της πράξης εφαρµογής ΑΓΙΟΙ ΑΝΑΡΓΥΡΟΙ</t>
  </si>
  <si>
    <t>ΒΛ4ΩΩ10-8ΞΤ</t>
  </si>
  <si>
    <t>Έγκριση δαπανών και διάθεση πιστώσεων διαφόρων έργων για το έτος 2013.</t>
  </si>
  <si>
    <t>ΒΛ4ΚΩ10-Σ7Γ</t>
  </si>
  <si>
    <t>Έγκριση δαπάνης και διάθεση πίστωσης για την προµήθεια και τοποθέτηση υλικών στεγανοποίησης δύο δεξαµενών κλειστού τύπου.</t>
  </si>
  <si>
    <t>Τµήµα Πολιτικής Προστασίας του ∆ήµου</t>
  </si>
  <si>
    <t>ΒΛ49Ω10-ΥΕΠ</t>
  </si>
  <si>
    <t>Έγκριση πρακτικών δηµοπρασίας του έργου«Οργάνωση, ∆ιαχείριση και Συντήρηση χώρων πρασίνου της ∆ηµοτικής Ενότητας Σκουτάρεως του ∆ήµου Σερρών» προϋπολογισµού 48.000,00 € χωρίς το Φ.Π.Α.</t>
  </si>
  <si>
    <t>Επιτροπή ∆ιενέργειας ∆ιαγωνισµού του ∆ήµου</t>
  </si>
  <si>
    <t>ΒΛ43Ω10-13Τ</t>
  </si>
  <si>
    <t>Έγκριση αναµόρφωσης οικονοµικής στοχοθεσίας 2013 ∆ήµου Σερρών.</t>
  </si>
  <si>
    <t>∆/νση Οικονοµικών Υπηρεσιών του ∆ήµου</t>
  </si>
  <si>
    <t>ΒΛ4ΣΩ10-ΘΔΔ</t>
  </si>
  <si>
    <t>Κατακύρωση του ανοικτού διαγωνισµού για την προµήθεια λαµπτήρων και ηλεκτρολογικού υλικού προϋπολογισθείσας αξίας 73.285,25 € µε Φ.Π.Α.</t>
  </si>
  <si>
    <t>ΒΛ4ΣΩ10-ΓΤΟ</t>
  </si>
  <si>
    <t>Έγκριση πληρωµής προνοιακών επιδοµάτων διµήνου Μαίου-Ιουνίου 2013.</t>
  </si>
  <si>
    <t>ΒΛ4ΝΩ10-Ι1Ν</t>
  </si>
  <si>
    <t>Έγκριση καταβολής µισθωµάτων των σχολικών µονάδων Ιανουάριος– Μάρτιος 2013.</t>
  </si>
  <si>
    <t>Τμήµα Παιδείας του ∆ήµου</t>
  </si>
  <si>
    <t>ΒΛ4ΣΩ10-6Χ6</t>
  </si>
  <si>
    <t>Έγκριση δαπάνης και διάθεση πίστωσης για την προµήθεια ειδών για την επισκευή απρόβλεπτων βλαβών των πληροφοριακών Συστηµάτων του ∆ήµου Σερρών.</t>
  </si>
  <si>
    <t>ΒΛ4ΜΩ10-3Κ1</t>
  </si>
  <si>
    <t>Έγκριση δαπανών και διάθεση πίστωσης του έργου«Κατασκευή Ράµπας (ΑΜΕΑ) στο ∆ηµοτικό Σχολείο Ανω Μητρουσίου».</t>
  </si>
  <si>
    <t>ΒΛ4ΣΩ10-ΓΥΧ</t>
  </si>
  <si>
    <t>Έγκριση όρων διακήρυξης και διάθεση πίστωσης του έργου «Ασφαλτοστρώσεις ∆ηµοτικής Ενότητας Σκουτάρεως»</t>
  </si>
  <si>
    <t>ΒΕΥ8Ω10-ΔΒΔ</t>
  </si>
  <si>
    <t>Όροι δηµοπρασίας εκµίσθωσης Σχολικού Κλήρου Κ. Καµήλας</t>
  </si>
  <si>
    <t>ΒΛ4ΣΩ10-Ξ2Δ</t>
  </si>
  <si>
    <t>Έγκριση 3ου πρακτικού της επιτροπής ∆ιενέργειας ∆ιαγωνισµού και Αξιολόγησης προσφορών παροχής υπηρεσιών του έργου «Παροχή υπηρεσιών τεχνικής υποστήριξης της υλοποίησης του ΣΧΥ και έκδοση ενεργειακών πιστοποιητικών (ΚΕΝΑΚ)» προϋπολογισµού 67.132,22 € συµπεριλαµβανοµένου Φ.Π.Α.</t>
  </si>
  <si>
    <t>ΒΛ4ΜΩ10-Π6Δ</t>
  </si>
  <si>
    <t>Έγκριση δαπάνης και διάθεση πίστωσης για τον υπολογισµό των Αντικειµενικών αξιών από Συµβολαιογράφους ή ∆ικηγόρους των ακινήτων της ∆ηµοτικής Ενότητας Σερρών του ∆ήµου Σερρών.</t>
  </si>
  <si>
    <t>∆/νση Οικονοµικών του ∆ήµου</t>
  </si>
  <si>
    <t>ΒΛΩΒΩ10-Β03</t>
  </si>
  <si>
    <t>Χορήγηση Οικονοµικού βοηθήµατος.</t>
  </si>
  <si>
    <t>ΒΛ4ΝΩ10-ΖΘΡ</t>
  </si>
  <si>
    <t>Έγκριση δαπάνης για την προµήθεια ειδών πυρόσβεσης, την τοποθέτηση υπάρχοντος συστήµατος ασφαλείας και την τοποθέτηση κεραίας τηλεόρασης για το Κέντρο Συµβουλευτικής Υποστήριξης Γυναικών Θυµάτων Βίας του ∆ήµου Σερρών.</t>
  </si>
  <si>
    <t>Τµήµα Η/Μ/ Έργων του ∆ήµου</t>
  </si>
  <si>
    <t>ΒΛ4ΑΩ10-ΔΤ6</t>
  </si>
  <si>
    <t>Έγκριση διάθεσης δαπάνης για την συνέχιση της εκτέλεσης της παροχής υπηρεσίας µε τίτλο«Ιατρός εργασίας και τεχνικός ασφαλείας από ΕΞ.Υ.Π.Π. στο ∆ήµο Σερρών»για το 2013.</t>
  </si>
  <si>
    <t>ΒΛ4ΝΩ10-ΚΤ4</t>
  </si>
  <si>
    <t>Έγκριση δαπάνης για την επισκευή του ηλεκτρικού πίνακα της οικίας ΜΑΛΛΙΟΥ και διάθεση πίστωσης ποσού 1.400,00 €</t>
  </si>
  <si>
    <t>ΒΛ4ΘΩ10-2ΜΝ</t>
  </si>
  <si>
    <t>∆ιάθεση πιστώσεων για το έτος 2013 της α) Αποκοµιδή Απορριµµάτων ∆.Ε. Σκουτάρεως του ∆ήµου Σερρών για τα έτη 2013-2014 και β) Αποκοµιδή απορριµµάτων ∆.Ε. Σερρών του ∆ήµου Σερρών για τα έτη 2013-2014.</t>
  </si>
  <si>
    <t>ΒΛΩΔΩ10-ΤΕΓ</t>
  </si>
  <si>
    <t>Αποδοχή της αριθ. 435/2013 αµετάκλητης απόφασης του ∆ιοικητικού Εφετείου Θεσσαλονίκης και µη άσκηση αίτησης αναίρεσης κατ΄ αυτής, ορισµός δικηγόρου για περαιτέρω ενέργειες.</t>
  </si>
  <si>
    <t>Νοµικός Σύµβουλος του ∆ήµου</t>
  </si>
  <si>
    <t>ΒΛΩΔΩ10-Ι5Β</t>
  </si>
  <si>
    <t>Ορισµός δικηγόρου νοµικής υπηρεσίας του ∆ήµου για την εκπροσώπησή του ενώπιον του ∆ιοικητικού Εφετείου Θες/νίκης σε ασκηθείσα από τον ∆ήµο Σερρών αίτηση ακύρωσης κατά των υπ. αριθ. 30920, 260801, 25407, 25258, 25256, 25252, 25247 /7-5-2010 Αποφάσεων της Γ.Γ. Περιφέρειας Κεντρικής Μακεδονίας.</t>
  </si>
  <si>
    <t>ΒΕΥ8Ω10-3ΛΓ</t>
  </si>
  <si>
    <t>Όροι δηµοπρασίας εκµίσθωσης Σχολικού Κλήρου Κρίνου</t>
  </si>
  <si>
    <t>ΒΛΒΠΩ10-ΩΧ3</t>
  </si>
  <si>
    <t>Έγκριση καταβολής αποζηµίωσης ποσού 100,00 € υπέρ της κας Βενετίας Χατζηεφραιµίδου του Αντωνίου.</t>
  </si>
  <si>
    <t>ΒΛΩΛΩ10-76Ι</t>
  </si>
  <si>
    <t>Ανάθεση στoν δικηγόρο του ∆ήµου να παραστεί ενώπιον του Ειρηνοδικείου Σερρών, κατά την εκδίκαση αγωγής τουT.E.I. Σερρών, κατά του ∆ήµου Σερρών, προς προάσπιση των συµφερόντων του ∆ήµου.</t>
  </si>
  <si>
    <t>ΒΛΩΡΩ10-ΥΩΩ</t>
  </si>
  <si>
    <t>Ανάθεση στην δικηγόρο του ∆ήµου κα Τσινίκα Μαρία, να παραστεί ενώπιον του Τριµελούς ∆/κού Πρωτοδικείου Σερρών, κατά την εκδίκαση της προσφυγής των κ.κ. Καραγιώργη Ελένης και Καραγιώργη Κυριακούλας κατά της αξίας ακινήτου για την επιβολή εισφοράς σε χρήµα, όπως προσδιορίστηκε από την επιτροπή του άρθρου 1 του Π.∆/τος 5/86 στην περιοχή πράξης εφαρµογής «Σφαγεία-40 Μάρτυρες» του ∆ήµου Σερρών.</t>
  </si>
  <si>
    <t>ΒΛΩΕΩ10-1ΝΒ</t>
  </si>
  <si>
    <t>Ορισµός δικηγόρου νοµικής υπηρεσίας του ∆ήµου µας για την άσκηση έφεσης ενώπιον του ∆ιοικητικού Εφετείου Θεσ/νίκης κατά των υπ΄ αρ. 88, 89, 90, 91 και 92/2013 αποφάσεων του ∆/κού Πρωτοδικείου Σερρών (Τριµελές).</t>
  </si>
  <si>
    <t>ΒΛΩΔΩ10-ΜΜ0</t>
  </si>
  <si>
    <t>Εκπροσώπηση του ∆ήµου Σερρών στο Μονοµελές ∆ιοικητικό Πρωτοδικείο Σερρών έναντι των υπ. αριθ. ΚΛ889/2013, ΚΛ 899/2013, ΚΛ901/2013 και ΚΛ907/2013 κλήσεών του, που αφορούν αγωγές υπαλλήλων του ∆ήµου Σερρών.</t>
  </si>
  <si>
    <t>ΒΛ4ΑΩ10-Ζ0Χ</t>
  </si>
  <si>
    <t>Έγκριση δαπάνης, έγκριση τεχνικών προδιαγραφών της προµήθειας ειδών τεχνολογιών, πληροφορικής, επικοινωνιών και λογισµικού συνολικής δαπάνης 17.919,13 € µε Φ.Π.Α. και καθορισµός τρόπου εκτέλεσης (ανοικτός διαγωνισµός) και όρων του διαγωνισµού.</t>
  </si>
  <si>
    <t>ΒΛ40Ω10-Ν2Δ</t>
  </si>
  <si>
    <t>Έλεγχος δικαιολογητικών ανάδειξης αναδόχου του έργου «Εργασίες Οδοστρωσίας έτους 2013»</t>
  </si>
  <si>
    <t>ΒΛ4ΑΩ10-Ε86</t>
  </si>
  <si>
    <t>Έγκριση όρων δηµοπράτησης της παροχής υπηρεσιών φιλοξενίας, µετακίνησης και διατροφής στο πλαίσιο υλοποίησης του έργου «Sports for all» του ∆ήµου Σερρών.</t>
  </si>
  <si>
    <t>ΒΕΥ8Ω10-ΠΥΛ</t>
  </si>
  <si>
    <t>Όροι δηµοπρασίας εκµίσθωσης Σχολικού Κλήρου Ελαιώνα</t>
  </si>
  <si>
    <t>ΒΛ4ΙΩ10-ΒΙ6</t>
  </si>
  <si>
    <t>Έγκριση προϋπολογιστικού πίνακα εκτέλεσης έργου: «Κατασκευή κιόσκι στην παιδική χαρά τ.κ. Επταµύλων» προϋπολογισµού 3.671,00 ευρώ.</t>
  </si>
  <si>
    <t>ΒΛΩ7Ω10-ΙΟΚ</t>
  </si>
  <si>
    <t>ΣΥΓΚΡΟΤΗΣΗ ΕΠΙΤΡΟΠΩΝ ΤΟΥ ΑΡΘΡΟΥ 46 ΤΟΥ ΕΚΠΟΤΑ.</t>
  </si>
  <si>
    <t>ΒΛ40Ω10-1ΗΨ</t>
  </si>
  <si>
    <t>Έλεγχος δικαιολογητικών ανάδειξης αναδόχου του έργου «Συντηρήσεις δρόµων Τ.Κ. Ανω Βροντούς»</t>
  </si>
  <si>
    <t>ΒΛ4ΘΩ10-ΨΙ0</t>
  </si>
  <si>
    <t>Εξέταση της υπ’αρίθµ. 39727/28-6-2013 ένστασης του Αναδόχου του έργου «Αναβάθµιση υποδοµών Αυτοκινητοδροµίου και πάρκου κυκλοφοριακής αγωγής ∆ήµου Σερρών», κατά της υπ’ αρίθµ. 37150/20-6-2013 Ειδικής ∆ιαταγής της ∆.Τ.Υ. του άρθρου 60 του Ν.3669/2008.</t>
  </si>
  <si>
    <t>ΒΛ4ΘΩ10-148</t>
  </si>
  <si>
    <t>Έγκριση όρων διακήρυξης του έργου«Βελτίωση Ενεργειακής απόδοσης5ου ∆ηµοτικού Σχολείου ∆ήµου Σερρών µε την υλοποίηση δράσεων εξοικονόµησης ενέργειες και την εγκατάσταση συστήµατος αβαθούς γεωθερµίας ( Υποέργο4) προϋπολογισµού 547.223,00 €».</t>
  </si>
  <si>
    <t>ΒΛ4ΘΩ10-ΙΤΕ</t>
  </si>
  <si>
    <t>Έγκριση όρων διακήρυξης του έργου«Πρότυπο Επιδεικτικό έργο εφαρµογών Ανανεώσιµων Πηγών Ενέργειας και Εξοικονόµησης Ενέργειας στο 20ο ∆ηµοτικό Σχολείο Σερρών (Υποέργο4 ) προϋπολογισµού 190.950,00 €».</t>
  </si>
  <si>
    <t>ΒΛΒΠΩ10-ΓΩΧ</t>
  </si>
  <si>
    <t>∆ιάθεση πίστωσης του προϋπολογιστικού Πίνακα του έργου «Αποκατάσταση υδραυλικής και ηλεκτρολογικής εγκατάστασης τους ξενώνες Χρυσοπηγής (κτίρια 3, 4, 5)»</t>
  </si>
  <si>
    <t>ΒΛΒΠΩ10-ΞΕΘ</t>
  </si>
  <si>
    <t>Έγκριση πρακτικών δηµοπρασίας του έργου «ΑΣΦΑΛΤΟΣΤΡΩΣΕΙΣ ∆ΗΜΟΤΙΚΗΣ ΕΝΟΤΗΤΑΣ ΛΕΥΚΩΝΑ»</t>
  </si>
  <si>
    <t>ΒΛΩΥΩ10-Ψ2Α</t>
  </si>
  <si>
    <t>Αποδοχή της υπ. αρ. 71/2013 δικαστικής απόφασης και την διενέργεια ενεργειών για την καταβολή αποζηµιώσεων για την διάνοιξη προβλεπόµενου πεζόδροµου.</t>
  </si>
  <si>
    <t>ΒΛΩΥΩ10-ΚΗΙ</t>
  </si>
  <si>
    <t>Ορισµός δικηγόρου για την εκπροσώπηση του ∆ήµου ενώπιον του ∆ιοικητικού Εφετείου Θες/νίκης έναντι της προσφυγής του κ. Ζακάπα ∆ηµητρίου κατά αξίας ακινήτου.</t>
  </si>
  <si>
    <t>ΒΕΥΦΩ10-ΕΥΕ</t>
  </si>
  <si>
    <t>Έγκριση πρακτικών ∆ηµοπρασίας του έργου: « Κλάδεµα και κοπή δέντρων » σε κοινόχρηστους χώρους ∆ηµοτικής Ενότητας Καπετάν Μητρουσίου ∆ήµου Σερρών</t>
  </si>
  <si>
    <t>ΒΕΤ6Ω10-ΔΨ7</t>
  </si>
  <si>
    <t>Τροποποίηση του άρθρου26.2 του Κανονισµού Καθαριότητας και Προστασίας Περιβάλλοντος(αρ. 370/11 Α.∆.Σ.) ως προς το ύψος του ποσού προστίµου</t>
  </si>
  <si>
    <t>ΒΛΩΕΩ10-ΕΙΓ</t>
  </si>
  <si>
    <t>Ορισµός δικηγόρου νοµικής υπηρεσίας του ∆ήµου µας για την άσκηση έφεσης ενώπιον του ∆ιοικητικού Εφετείου Θεσ/νίκης κατά της υπ΄ αρ. 82/2013 απόφασης του Τριµελούς ∆/κού Πρωτοδικείου Σερρών (προσφυγή κας ∆ουλγερίδου Αφροδίτης).</t>
  </si>
  <si>
    <t>ΒΛΩΛΩ10-4Ξ3</t>
  </si>
  <si>
    <t>Ορισµός δικηγόρου νοµικής υπηρεσίας του ∆ήµου µας για την άσκηση έφεσης ενώπιον του ∆ιοικητικού Εφετείου Θεσ/νίκης κατά της υπ΄ αρ. 81/2013 απόφασης του Τριµελούς ∆/κού Πρωτοδικείου Σερρών (προσφυγή κας Αρναούτογλου Ελπίδας)</t>
  </si>
  <si>
    <t>ΒΛΩΛΩ10-5Ω9</t>
  </si>
  <si>
    <t>Ορισµός δικηγόρου νοµικής υπηρεσίας του ∆ήµου µας για την άσκηση έφεσης ενώπιον του ∆ιοικητικού Εφετείου Θεσ/νίκης κατά της υπ΄ αρ. 121/2013 απόφασης του Τριµελούς ∆/κού Πρωτοδικείου Σερρών (προσφυγή κ.κ. Πλιόσκα Αθανάσιου, Χρυσούλας &amp; Ελένης).</t>
  </si>
  <si>
    <t>ΒΛΩΥΩ10-ΟΧΘ</t>
  </si>
  <si>
    <t>Ορισµός δικηγόρου νοµικής υπηρεσίας του ∆ήµου µας για την άσκηση έφεσης ενώπιον του ∆ιοικητικού Εφετείου Θεσ/νίκης κατά της υπ΄ αρ. 122/2013 απόφασης του Τριµελούς ∆/κού Πρωτοδικείου Σερρών (προσφυγή κας Χατζηβασιλείου Γεωργίας).</t>
  </si>
  <si>
    <t>ΒΛΩΛΩ10-ΙΛΑ</t>
  </si>
  <si>
    <t>Ορισµός δικηγόρου νοµικής υπηρεσίας του ∆ήµου µας για την άσκηση έφεσης ενώπιον του ∆ιοικητικού Εφετείου Θεσ/νίκης κατά της υπ΄ αρ. 96/2013 απόφασης του Τριµελούς ∆/κού Πρωτοδικείου Σερρών (προσφυγή κας Τρέντσιου Σταυρούλας).</t>
  </si>
  <si>
    <t>ΒΛΩΛΩ10-ΒΒΠ</t>
  </si>
  <si>
    <t>Ορισµός δικηγόρου νοµικής υπηρεσίας του ∆ήµου µας για την άσκηση έφεσης ενώπιον του ∆ιοικητικού Εφετείου Θεσ/νίκης κατά της υπ΄ αρ. 95/2013 απόφασης του Τριµελούς ∆/κού Πρωτοδικείου Σερρών (προσφυγή κ. Καρύδα Κων/νου).</t>
  </si>
  <si>
    <t>ΒΛΩΕΩ10-ΩΙΨ</t>
  </si>
  <si>
    <t>Ορισµός δικηγόρου νοµικής υπηρεσίας του ∆ήµου µας για την άσκηση έφεσης ενώπιον του ∆ιοικητικού Εφετείου Θεσ/νίκης κατά της υπ΄ αρ. 120/2013 απόφασης του Τριµελούς ∆/κού Πρωτοδικείου Σερρών (προσφυγή κ.κ. Παπαθεοδώρου, Χατζηαγοράκη, Φουρτούνη).</t>
  </si>
  <si>
    <t>ΒΛΩ5Ω10-Ξ2Σ</t>
  </si>
  <si>
    <t>Ορισµός δικηγόρου για την άσκηση ενδίκων µέσων κατά της υπ. αριθ. 98/2013 απόφασης του Ειρηνοδικείου Σερρών.</t>
  </si>
  <si>
    <t>ΒΛΩ5Ω10-Υ9Ω</t>
  </si>
  <si>
    <t>Αποδοχή της υπ.αριθ. 57/2013 απόφασης του Μονοµελούς Πρωτοδικείου Σερρών.</t>
  </si>
  <si>
    <t>ΒΛΩ5Ω10-8Ρ2</t>
  </si>
  <si>
    <t>Αποδοχή της αριθ. 63/2013 απόφασης του Μονοµελούς Πρωτοδικείου Σερρών.</t>
  </si>
  <si>
    <t>ΒΛΩΜΩ10-ΟΑ7</t>
  </si>
  <si>
    <t>Αποδοχή της υπ. αριθ. 21/2013 απόφασης του Μονοµελούς Πρωτοδικείου Σερρών.</t>
  </si>
  <si>
    <t>ΒΛΩΒΩ10-ΑΑΖ</t>
  </si>
  <si>
    <t>Έγκριση δαπάνης, διάθεση πίστωσης, έγκριση τεχνικής έκθεσης της παροχής υπηρεσιών των βελτιωµένων εκδόσεων( Releases) των προγραµµάτων του ∆ήµου συνολικής δαπάνης11.582,00 € µε Φ.Π.Α. και και καθορισµός τρόπου εκτέλεσης.</t>
  </si>
  <si>
    <t>ΒΛ4ΖΩ10-Ε77</t>
  </si>
  <si>
    <t>∆ιάθεση πίστωσης των έργων α) ∆ιαµόρφωση κεντρικής πλατείας Τ.∆. Κάτω Καµήλας, β) ∆ιαµόρφωση κεντρικής πλατείας Τ.∆. Σκουτάρεως, γ) Συντηρήσεις δρόµων Τ.Κ. Άνω Βροντούς για το έτος 2013.</t>
  </si>
  <si>
    <t>ΒΛΩΕΩ10-Φ5Ρ</t>
  </si>
  <si>
    <t>Ορισµός δικηγόρου νοµικής υπηρεσίας του ∆ήµου µας για την άσκηση έφεσης ενώπιον του ∆ιοικητικού Εφετείου Θεσ/νίκης κατά της υπ΄ αρ. 84/2013 απόφασης του Τριµελούς ∆/κού Πρωτοδικείου Σερρών (προσφυγή κ. Αλευρά Παναγιώτη).</t>
  </si>
  <si>
    <t>ΒΛΩΕΩ10-45Α</t>
  </si>
  <si>
    <t>Ορισµός δικηγόρου νοµικής υπηρεσίας του ∆ήµου µας για την άσκηση έφεσης ενώπιον του ∆ιοικητικού Εφετείου Θεσ/νίκης κατά της υπ΄ αρ. 83/2013 απόφασης του Τριµελούς ∆/κού Πρωτοδικείου Σερρών (προσφυγή κας ∆ουλγερίδου Ασηµένιας).</t>
  </si>
  <si>
    <t>ΒΛΩ7Ω10-8Ι6</t>
  </si>
  <si>
    <t>Έγκριση και διάθεση πιστώσεων που αφορούν τη δαπάνη για την κατανάλωση ρεύµατος και τη δαπάνη για φωτισµό και κίνηση.</t>
  </si>
  <si>
    <t>ΒΛΩΥΩ10-Α5Δ</t>
  </si>
  <si>
    <t>Έγκριση δαπάνης Συντήρησης– Λειτουργίας Ελεγχόµενης Στάθµευσης για το διάστηµα από 27-03-2013 έως 26-06-2013.</t>
  </si>
  <si>
    <t>∆/νση ∆ηµοτικής Αστυνοµίας του ∆ήµου</t>
  </si>
  <si>
    <t>∆ηµοτική Αστυνοµία του ∆ήµου</t>
  </si>
  <si>
    <t>ΒΛΩΔΩ10-ΣΓ2</t>
  </si>
  <si>
    <t>Γνωµοδότηση Νοµικού Συµβούλου του ∆ήµου Σερρών για την άσκηση έφεσης ενώπιον του Μονοµελούς ∆ιοικητικού Πρωτοδικείου Σερρών.</t>
  </si>
  <si>
    <t>ΒΛΩΡΩ10-1Σ0</t>
  </si>
  <si>
    <t>Aνάθεση στον δικηγόρο του ∆ήµου να παραστεί ενώπιον του Τριµελούς ∆/κού Πρωτοδικείου Σερρών, κατά την εκδίκαση αγωγής του υπαλλήλου µας κ. Παζάρσκη Μιχαήλ, προς προάσπιση των συµφερόντων του ∆ήµου.</t>
  </si>
  <si>
    <t>ΒΛΩΒΩ10-ΩΘΧ</t>
  </si>
  <si>
    <t>Έγκριση όρων διακήρυξης και διάθεση πίστωσης του έργου: «∆ιάφορες επισκευές -συντηρήσεις και κατασκευές σε Σχολικά κτίρια του ∆ήµου Σερρών»</t>
  </si>
  <si>
    <t>ΒΕΔΞΩ10-ΤΚΠ</t>
  </si>
  <si>
    <t>Ορισµός δικηγόρου νοµικής υπηρεσίας του ∆ήµου για έλεγχο και ενέργειες για την υπόθεση του Σιάλλη Παντελή</t>
  </si>
  <si>
    <t>ΒΛΩ7Ω10-ΕΑΩ</t>
  </si>
  <si>
    <t>Έγκριση πρακτικών ∆ηµοπρασίας του έργου«Παροχή υπηρεσιών Τεχνικής υποστήριξης στο πλαίσιο υλοποίησης του έργου &lt;&lt;SPORTS FOR ALL&gt;&gt; του ∆ήµου Σερρών», προϋπολογισµού 43.240,00 € µε το Φ.Π.Α. και ΕΞΕΤΑΣΗ ΕΝΣΤΑΣΗΣ.</t>
  </si>
  <si>
    <t>ΒΛΒΠΩ10-ΜΙΠ</t>
  </si>
  <si>
    <t>Έγκριση πρακτικών δηµοπρασίας του έργου«∆ΙΑΜΟΡΦΩΣΗ ΧΩΡΟΥ ΠΛΑΤΕΙΑΣ ΚΑΙ ΠΛΑΤΕΙΑΣ ΑΝΑΓΝΩΣΤΟΠΟΥΛΟΥ Τ.Κ. ΠΡΟΒΑΤΑ»</t>
  </si>
  <si>
    <t>∆.Τ.Υ του ∆ήµου</t>
  </si>
  <si>
    <t>ΒΛ9ΒΩ10-Ι2Τ</t>
  </si>
  <si>
    <t>Έγκριση όρων δηµοπρασίας εκµίσθωσης του υπ. αριθ 26 Καταστήµατος του ∆ηµοτικού Μεγάρου.</t>
  </si>
  <si>
    <t>ΒΛΩ7Ω10-Χ6Υ</t>
  </si>
  <si>
    <t>Έγκριση δαπανών και διάθεση σχετικής πίστωσης για το έτος 2013 της εκπόνησης µελέτης µε τίτλο«Μελέτη αντιπληµµυρικών έργων στο χείµαρρο Αγίων Αναργύρων»</t>
  </si>
  <si>
    <t>ΒΛΩ7Ω10-51Ο</t>
  </si>
  <si>
    <t>Έγκριση πινακίου αµοιβής µελέτης µε τίτλο«Μελέτη αντιπληµµυρικών έργων στο χείµαρρο Αγίων Αναργύρων»</t>
  </si>
  <si>
    <t>ΒΛΩΛΩ10-ΦΜ4</t>
  </si>
  <si>
    <t>Ορισµός δικηγόρου Νοµικής Υπηρεσίας ∆ήµου για αγωγή χρέους της Ανωνύµου Εταιρείας µε την επωνυµία «Υπηρεσίες Ανοικτής Τεχνολογίας Α.Ε. – OTS Α.Ε.».</t>
  </si>
  <si>
    <t>ΒΛΩΒΩ10-8ΨΗ</t>
  </si>
  <si>
    <t>Έγκριση δαπάνης για την προµήθεια ανταλλακτικών για την Επισκευή φωτοτυπικών µηχανηµάτων.</t>
  </si>
  <si>
    <t>ΒΛΩ7Ω10-6ΝΣ</t>
  </si>
  <si>
    <t>∆ιάθεση πίστωσης για τα έργα α) Βελτίωση οριζόντιας οδικής σήµανσης του ∆ήµου µας, παρεµβάσεις 2013 και β) Βελτίωση κάθετης οδικής Σήµανσης του ∆ήµου µας, παρεµβάσεις 2013.</t>
  </si>
  <si>
    <t>ΒΛΩΡΩ10-ΝΦΝ</t>
  </si>
  <si>
    <t>Ψήφιση-διάθεση πίστωσης υποέργου συγχρηµατοδοτούµενης της πράξης: « Πρότυπο επιδεικτικό έργο εφαρµογών Ανανεώσιµων Πηγών Ενέργειας και Εξοικονόµησης Ενέργειας στο 20ο ∆ηµοτικό Σχολείο Σερρών».</t>
  </si>
  <si>
    <t>ΒΛΩΡΩ10-ΡΜΦ</t>
  </si>
  <si>
    <t>Έγκριση διάθεσης σχετικής πίστωσης για την εξόφληση τιµολογίου της παροχής υπηρεσίας µε τίτλο: «Ιατρός εργασίας και τεχνικός ασφαλείας από ΕΞΥΠΠ στο ∆ήµο Σερρων», για το έτος 2012.</t>
  </si>
  <si>
    <t>Τµήµα ∆ηµόσιας Υγείας του ∆ήµου</t>
  </si>
  <si>
    <t>ΒΕΥΣΩ10-ΤΘΑ</t>
  </si>
  <si>
    <t>Aνάθεση στη δικηγόρο του ∆ήµου να παραστεί ενώπιον του Ειρηνοδικείου Σερρών, κατά την εκδίκαση αγωγής της εταιρείας «Οδοσήµανση – Κων/νος Χρόνης ΑΒΕΕ-Βιοµηχανία Υλικών Σηµάνσεως», κατά του ∆ήµου Σερρών, ως καθολικός διάδοχος του πρώην ∆ήµου Κ. Μητρούση, προς προάσπιση των συµφερόντων του ∆ήµου.</t>
  </si>
  <si>
    <t>ΒΛΒΠΩ10-ΙΟΨ</t>
  </si>
  <si>
    <t>Έγκριση διάθεσης πίστωσης για το έτος 2013 της«Αποκοµιδή απορριµµάτων ∆.Ε. Κ. Μητρουσίου»</t>
  </si>
  <si>
    <t>Τµήµα Καθαριότητας του ∆ήµου</t>
  </si>
  <si>
    <t>ΒΛΩ8Ω10-ΓΒΔ</t>
  </si>
  <si>
    <t>Ορισµός δικηγόρου Νοµικής Υπηρεσίας του ∆ήµου για την άσκηση αίτηση αναίρεσης ενώπιον του Αρείου Πάγου, κατά της υπ. ατιθ. 115/2013 απόφασης του Πολυµελούς Πρωτοδ. Σερρών.</t>
  </si>
  <si>
    <t>ΒΛΩ8Ω10-ΔΗ0</t>
  </si>
  <si>
    <t>Έγκριση δαπανών και διάθεση πίστωσης της εργασίας «Εργασίες καθαίρεσης ψευδοροφής στο κλειστό γυµναστήριο του ∆ηµοτικού Σχολείου της ∆.Κ. Λευκώνα»</t>
  </si>
  <si>
    <t>ΒΛ94Ω10-ΑΦΣ</t>
  </si>
  <si>
    <t>Έγκριση πρακτικών δηµοπρασίας του έργου «ΑΣΦΑΛΤΟΣΤΡΩΣΗ ∆ΗΜΟΤΙΚΗΣ ΕΝΟΤΗΤΑΣ ΛΕΥΚΩΝΑ»</t>
  </si>
  <si>
    <t>ΒΛ9ΕΩ10-43Ε</t>
  </si>
  <si>
    <t>Ανάθεση στον δικηγόρο του ∆ήµου να παραστεί ενώπιον του ∆/κού Εφετείου Θεσσαλονίκης κατά την εκδίκαση αγωγής-προσφυγής της εταιρείας «ΚΑΜΕΛΙ∆ΗΣ ΑΤΕ» κατά του ∆ήµου Σερρών.</t>
  </si>
  <si>
    <t>ΒΛΛΨΩ10-Ψ1Γ</t>
  </si>
  <si>
    <t>Αυτοδίκαιη λύση της µίσθωσης του πρώην«ΗΡΩΟΥ» Λευκώνα, µε αρ. αγροτεµαχίου 993.</t>
  </si>
  <si>
    <t>ΒΛΩ8Ω10-ΖΦΘ</t>
  </si>
  <si>
    <t>∆ιάθεση πίστωσης για το έτος2013 της παροχής υπηρεσιών «Αποκοµιδή απορριµµάτων ∆.Ε. Σκουτάρεως»</t>
  </si>
  <si>
    <t>ΒΛΩ8Ω10-ΖΒ8</t>
  </si>
  <si>
    <t>Έγκριση δαπάνης, διάθεση πίστωσης, έγκριση µελέτης της σύµβασης παροχής κτηνιατρικών υπηρεσιών για τις ανάγκες του κυνοκοµείου συνολικής δαπάνης 3.277,00 €.</t>
  </si>
  <si>
    <t>Τµήµα της ανάπτυξης και Αγροτικής Οικονοµίας Τ.Α.Κ.Π.Α. του ∆ήµου</t>
  </si>
  <si>
    <t>ΒΛ9ΙΩ10-ΔΗΠ</t>
  </si>
  <si>
    <t>Ανάθεση µελέτης µε τίτλο«Σύνταξη περιβαλλοντικών µελετών για την νοµιµοποίηση των αρδευτικών γεωτρήσεων του ∆ήµου Σερρών»</t>
  </si>
  <si>
    <t>Ορισµός δικηγόρου του ∆ήµου µας για την εκπροσώπησή του ενώπιον του ∆ιοικητικού Πρωτοδικείου Σερρών για την προσφυγή του Ν.Π.Ι.∆. « ΣΩΜΑ ΕΛΛΗΝΙΚΟΥ Ο∆ΗΓΙΣΜΟΥ»</t>
  </si>
  <si>
    <t>ΒΕΔΞΩ10-3Μ0</t>
  </si>
  <si>
    <t>Ορισµός δικηγόρου νοµικής υπηρεσίας ∆ήµου για έλεγχο και ενέργειες για την πληρωµή δεδουλευµένων πρώην υπαλλήλων χρόνου της Κ.Ε.Π.Σ. ∆ήµου Σερρών</t>
  </si>
  <si>
    <t>ΒΛ9ΡΩ10-Θ1Ζ</t>
  </si>
  <si>
    <t>Ορισµός δικηγόρου του ∆ήµου µας για την εκπροσώπησή του ενώπιον του ∆ιοικητικού Εφετείου Θεσ/νίκης κατά της έφεσης του κ. Μακάκη Εµµανουήλ, που αφορά πράξη επιβολής σε χρήµα.</t>
  </si>
  <si>
    <t>ΒΛ9ΡΩ10-ΘΧ8</t>
  </si>
  <si>
    <t>Ορισµός δικηγόρου του ∆ήµου µας για την εκπροσώπησή του ενώπιον του ∆ιοικητικού Πρωτοδικείου Σερρών για την προσφυγή των Αντωνιάδη Αντωνίου κ.λ.π. κατά του ∆ήµου Σερρών.</t>
  </si>
  <si>
    <t>ΒΛ9ΩΩ10-Ρ4Η</t>
  </si>
  <si>
    <t>Έγκριση δαπάνης, διάθεση πίστωσης, έγκριση τεχνικής έκθεσης της παροχής υπηρεσιών µηχανογραφικής υποστήριξης των προγραµµάτων του ∆ήµου συνολικής δαπάνης 13.284,00 € µε Φ.Π.Α. και καθορισµός τρόπου εκτέλεσης.</t>
  </si>
  <si>
    <t>ΒΛ94Ω10-Ο5Ο</t>
  </si>
  <si>
    <t>Έγκριση δαπάνης και καθορισµός όρων διακήρυξης του ανοικτού διαγωνισµού για την ασφάλιση Τροχαίου Υλικού του ∆ήµου Σερρών από 20-10-2013 έως 20-10-2014 προϋπολογισθείσας αξίας 60.000,00 € µε κριτήριο κατακύρωσης τη χαµηλότερη τιµή.</t>
  </si>
  <si>
    <t>ΒΛ9ΕΩ10-2Θ6</t>
  </si>
  <si>
    <t>∆ιάθεση πίστωσης για την«Προµήθεια Εξοπλισµού για την Κατασκευή και την λειτουργία της νέας περιοχής ελεγχόµενης Στάθµευσης του ∆ήµου Σερρών.</t>
  </si>
  <si>
    <t>ΒΛΩΧΩ10-ΡΛΥ</t>
  </si>
  <si>
    <t>Έγκριση δαπάνης, τεχνικών προδιαγραφών µελέτης και καθορισµός τρόπου εκτέλεσης της προµήθειας υποστηρικτικού και ενηµερωτικού υλικού στο πλαίσιο του έργου ENCLOSE.</t>
  </si>
  <si>
    <t>ΒΛΩΧΩ10-ΙΝΡ</t>
  </si>
  <si>
    <t>Έγκριση πρακτικών δηµοπρασίας του έργου «ΑΣΦΑΛΤΟΣΤΡΩΣΕΙΣ ∆ΗΜΟΤΙΚΗΣ ΕΝΟΤΗΤΑΣ ΜΗΤΡΟΥΣΙΟΥ»</t>
  </si>
  <si>
    <t>ΒΛΩΧΩ10-5ΛΗ</t>
  </si>
  <si>
    <t>Έγκριση πρακτικών διενέργειας και αξιολόγησης τεχνικών στοιχείων των προσφορών του επαναληπτικού ανοικτού διαγωνισµού για την προµήθεια ανυψωτικών συστηµάτων για Α.Μ.Ε.Α. και εξοπλισµού πρώτων βοηθειών στα πλαίσια της πράξης SPORTS FOR ALL του ∆ήµου Σερρών.</t>
  </si>
  <si>
    <t>ΒΛ9ΕΩ10-ΤΞΣ</t>
  </si>
  <si>
    <t>Εξέτασης της ένστασης της εταιρείας Β. ΠΟΛΥΧΡΟΝΟΣ–∆. ΡΑΜΝΑΛΗΣ Ο.Ε. µε διακριτικό τίτλοGEOSENSE κατά των όρων της διακήρυξης του διαγωνισµού για την προµήθεια Τοπογραφικού εξοπλισµού.</t>
  </si>
  <si>
    <t>Ορισµός δικηγόρου νοµικής υπηρεσίας ∆ήµου για έλεγχο και ενέργειες για την υπόθεση της εταιρείας ΄΄ΟΡΓΑΝΩΤΕΧΝΙΚΗ Α.Ε.΄΄</t>
  </si>
  <si>
    <t>ΒΛΩΧΩ10-51Ψ</t>
  </si>
  <si>
    <t>Έγκριση δαπάνης και τεχνικών προδιαγραφών της προµήθειας «Προµήθεια ανταλλακτικών για εκτυπωτές-πολυµηχανήµατα και φωτοτυπικά έτους 2013», συνολικής δαπάνης 51.950,06 € καθώς και καθορισµός του τρόπου εκτέλεσης και των όρων του διαγωνισµού.</t>
  </si>
  <si>
    <t>ΒΛ94Ω10-0ΙΒ</t>
  </si>
  <si>
    <t>Εξέταση ενστάσεων κατά του πρακτικού διενέργειας του ανοικτού διαγωνισµού για την προµήθεια ανταλλακτικών µηχανηµάτων και αυτοκινήτων του ∆ήµου Σερρών για το έτος 2013 προϋπολογισθείσας αξίας 186.707,50 χωρίς Φ.Π.Α.</t>
  </si>
  <si>
    <t>ΒΛ9ΒΩ10-Θ3Ρ</t>
  </si>
  <si>
    <t>Έγκριση πρακτικών δηµοπρασίας του έργου: «ΑΣΦΑΛΤΟΣΤΡΩΣΕΙΣ ∆ΗΜΟΤΙΚΗΣ ΕΝΟΤΗΤΑΣ ΣΚΟΥΤΑΡΕΩΣ»</t>
  </si>
  <si>
    <t>ΒΛΩ8Ω10-Ο7Ο</t>
  </si>
  <si>
    <t>Ορισµός δικηγόρου νοµικής υπηρεσίας ∆ήµου για Εξώδικη ∆ήλωση- Γνωστοποίηση της εταιρείας µε την επωνυµία«Χρυσός Οδηγός έντυπη και Ηλεκτρονική Πληροφόρηση Ανώνυµη Εταιρεία».</t>
  </si>
  <si>
    <t>ΒΛ9ΒΩ10-ΚΒΤ</t>
  </si>
  <si>
    <t>Καθορισµός νέας ηµεροµηνίας διεξαγωγής δηµοπρασίας του έργου «ΒΕΛΤΙΩΣΗ ΕΝΕΡΓΕΙΑΚΗΣ ΑΠΟ∆ΟΣΗΣ ΤΟΥ 5ου ∆ΗΜΟΤΙΚΟΥ ΣΧΟΛΕΙΟΥ ∆ΗΜΟΥ ΣΕΡΡΩΝ ΜΕ ΤΗΝ ΥΛΟΠΟΙΗΣΗ ∆ΡΑΣΕΩΝ ΕΞΟΙΚΟΝΟΜΗΣΗΣ ΕΝΕΡΓΕΙΑΣ ΚΑΙ ΤΗΝ ΕΓΚΑΤΑΣΤΑΣΗ ΣΥΣΤΗΜΑΤΟΣ ΑΒΑΘΟΥΣ ΓΕΩΘΕΡΜΙΑΣ (Υποέργο4)», ποσού 547.223 € από το ΕΠΙΧΕΙΡΗΣΙΑΚΟ ΠΡΟΓΡΑΜΜΑ ΠΕΡΙΒΑΛΛΟΝ &amp; ΑΕΙΦΟΡΟΣ ΑΝΑΠΤΥΞΗ.</t>
  </si>
  <si>
    <t>ΒΛΩΧΩ10-098</t>
  </si>
  <si>
    <t>Παράταση ισχύος προσφορών για το διαγωνισµό ανάδειξης της µελέτης «ΜΕΛΕΤΗ ΕΠΕΜΒΑΣΕΩΝ ΕΞΟΙΚΟΝΟΜΗΣΗΣ ΕΝΕΡΓΕΙΑΣ ΣΕ ∆ΗΜΟΤΙΚΑ ΚΤΙΡΙΑ» στα πλαίσια της πράξης ΕΞΟΙΚΟΝΟΜΗΣΗ ΕΝΕΡΓΕΙΑΣ ΣΕΡΡΩΝ.</t>
  </si>
  <si>
    <t>ΒΛ9ΡΩ10-1ΞΥ</t>
  </si>
  <si>
    <t>Έγκριση 4ου Πρακτικού κατακύρωσης της «Προµήθεια εξοπλισµού ειδικών σχολείων και τµηµάτων ένταξης ∆ήµου Σερρών».</t>
  </si>
  <si>
    <t>ΒΛ9ΚΩ10-ΖΙΡ</t>
  </si>
  <si>
    <t>Συγκρότηση τριµελούς επιτροπής αξιολόγησης τεχνικών και οικονοµικών προσφορών του διαγωνισµού για την προµήθεια µέσων ατοµικής προστασίας, κατά το άρθρο 46 του ΕΚΠΟΤΑ.</t>
  </si>
  <si>
    <t>ΒΕΥΜΩ10-ΝΚΜ</t>
  </si>
  <si>
    <t>Έγκριση πρακτικών ∆ηµοπρασίας της παροχής υπηρεσιών µε τίτλο: «Αποκοµιδή απορριµµάτων ∆.Ε. Σερρών του ∆ήµου Σερρών».</t>
  </si>
  <si>
    <t>Επιτροπή ∆ιαγωνισµού</t>
  </si>
  <si>
    <t>ΒΛ9ΛΩ10-ΡΞΚ</t>
  </si>
  <si>
    <t>Έγκριση πρακτικών δηµοπρασίας του έργου: « Πρότυπο επιδεικτικό έργο εφαρµογών ανανεώσιµων πηγών ενέργειας και εξοικονόµησης ενέργειας στο 20ο ∆ηµοτικό Σχολείο Σερρών».</t>
  </si>
  <si>
    <t>ΒΛΛΨΩ10-9ΥΞ</t>
  </si>
  <si>
    <t>Έγκριση και διάθεση πίστωσης για την εξόφληση των Ληξιπρόθεσµων οφειλών του ∆ήµου Σερρών.</t>
  </si>
  <si>
    <t>ΒΛ9ΡΩ10-Χ04</t>
  </si>
  <si>
    <t>Έγκριση κίνησης εσόδων– εξόδων Β΄ τριµήνου2013, βάσει άρθρου 48 Β.∆. 17/5-16/6/1959.</t>
  </si>
  <si>
    <t>∆ηµοτικός Ταµίας</t>
  </si>
  <si>
    <t>ΒΛ9ΞΩ10-7ΒΔ</t>
  </si>
  <si>
    <t>Τροποποίηση των υπ. αριθ. 87/2013 και 233/2013 Α.Ο.Ε. και συµπλήρωση της φράσης «είτε ενώπιον του αρµοδίου δικαστηρίου µε την σύνταξη και επικύρωση σχετικού πρακτικού συµβιβασµού».</t>
  </si>
  <si>
    <t>Οικονοµικός Σύµβουλος κ. Βέρρος Κων/νος</t>
  </si>
  <si>
    <t>ΒΛ9ΡΩ10-1ΔΛ</t>
  </si>
  <si>
    <t>Ορισµός δικηγόρου Νοµικής Υπηρεσίας του ∆ήµου Σερρών για εκπροσώπηση του ∆ήµου έναντι εκδικάσεων σε αγωγές υπαλλήλων µας.</t>
  </si>
  <si>
    <t>ΒΛ9ΘΩ10-ΚΤΔ</t>
  </si>
  <si>
    <t>Έγκριση αποτελέσµατος της παροχής υπηρεσιών του έργου: «Παροχή υπηρεσιών τεχνικής υποστήριξης της υλοποίησης του ΣΧΥ και Έκδοση ενεργειακών πιστοποιητικών(ΚΕΝΑΚ)» προϋπολογισµού 67.132,22 € συµπεριλαµβανοµένου Φ.Π.Α.</t>
  </si>
  <si>
    <t>ΒΛ9ΕΩ10-ΙΕΤ</t>
  </si>
  <si>
    <t>Έγκριση δαπάνης προµήθειας ειδών για την επισκευή απρόβλεπτων βλαβών των πληροφοριακών συστηµάτων του ∆ήµου µας.</t>
  </si>
  <si>
    <t>Τμήμα Μηχανογράφησης του Δήμου</t>
  </si>
  <si>
    <t>ΒΛ9ΔΩ10-ΣΟΚ</t>
  </si>
  <si>
    <t>Μη άσκηση έφεσης κατά της υπ. αριθ. 93/2013 απόφασης Μονοµελούς Πρωτοδικείου Σερρών για οφειλή του ∆ήµου Σερρών.</t>
  </si>
  <si>
    <t>ΒΕΥΜΩ10-Ο7Ψ</t>
  </si>
  <si>
    <t>Έγκριση πρακτικών ∆ηµοπρασίας της παροχής υπηρεσιών µε τίτλο: «Αποκοµιδή απορριµµάτων ∆.Ε. Σκουτάρεως του ∆ήµου Σερρών».</t>
  </si>
  <si>
    <t>ΒΛ93Ω10-ΨΦΡ</t>
  </si>
  <si>
    <t>Ορισµός δικηγόρου νοµικής υπηρεσίας του ∆ήµου µας για την άσκηση έφεσης ενώπιον του ∆ιοικητικού Εφετείου Θεσ/νίκης κατά της υπ΄ αρ. 97/2013 απόφασης του Τριµελούς ∆/κού Πρωτοδικείου Σερρών (προσφυγή κ. Ξυλαγρά Νικόλαου).</t>
  </si>
  <si>
    <t>ΒΛ96Ω10-7ΦΙ</t>
  </si>
  <si>
    <t>Έγκριση διάθεσης πίστωσης και απευθείας ανάθεση της µελέτης «Οριστική Μελέτη–Τεύχη ∆ηµοπράτησης του έργου Αποκατάσταση ΧΥΤΑ ∆ήµου Σερρών»</t>
  </si>
  <si>
    <t>ΒΛ1ΒΩ10-23Ψ</t>
  </si>
  <si>
    <t>Σύνταξη Προσχεδίου Προϋπολογισµού του ∆ήµου Σερρών έτους 2014.</t>
  </si>
  <si>
    <t>ΒΛ90Ω10-5ΟΥ</t>
  </si>
  <si>
    <t>Έγκριση δαπάνης προµήθειας ειδικών δοµικών υλικών και ψήφιση σχετικής πίστωσης.</t>
  </si>
  <si>
    <t>ΒΛ96Ω10-ΞΝ7</t>
  </si>
  <si>
    <t>Άσκηση ενδίκων µέσων κατά της µε αρ. 120/2013 απόφασης του Μονοµελούς ∆ιοικητικού Πρωτοδικείου Σερρών.</t>
  </si>
  <si>
    <t>Νοµικός Σύβουλος του ∆ήµου</t>
  </si>
  <si>
    <t>ΒΛ90Ω10-Ξ0Τ</t>
  </si>
  <si>
    <t>Έγκριση δαπάνης για αγορά εξοπλισµού για τη λειτουργία και για την υγιεινή και ασφάλεια του προσωπικού των εργαζοµένων του Τµήµατος Πολιτικής Προστασίας του ∆ήµου Σερρών και διάθεση (ψήφιση) της σχετικής πίστωσης.</t>
  </si>
  <si>
    <t>ΒΛ9ΑΩ10-3Τ3</t>
  </si>
  <si>
    <t>Έγκριση διάθεσης ποσού για την χρηµατοδότηση της εθελοντικής οργάνωσης Λέσχη Ειδικών ∆υνάµεων Ν. Σερρών, για την αγορά υλικών εξοπλισµού της και διάθεση (ψήφιση) της σχετικής πίστωσης.</t>
  </si>
  <si>
    <t>ΒΛ9ΑΩ10-ΠΡ9</t>
  </si>
  <si>
    <t>Έγκριση διάθεσης ποσού για την χρηµατοδότηση της εθελοντικής οργάνωσης Αερολέσχη Ν. Σερρών, για την κάλυψη καυσίµων για πραγµατοποίηση πτήσεων αντιµετώπισης εκτάκτων αναγκών και διάθεση (ψήφιση) της σχετικής πίστωσης.</t>
  </si>
  <si>
    <t>ΒΛ9ΑΩ10-Θ0Ι</t>
  </si>
  <si>
    <t>Έγκριση εκτέλεσης του έργου«ΣΥΝΤΗΡΗΣΗ ΚΑΙ ΕΠΙΣΚΕΥΗ ΠΕΖΟ∆ΡΟΜΙΩΝ του ∆ήµου µας έτους 2013» προϋπολογισµού 7.000,00 ευρώ.</t>
  </si>
  <si>
    <t>ΒΛ9ΑΩ10-ΚΧΑ</t>
  </si>
  <si>
    <t>Έγκριση εκτέλεσης του έργου«ΣΥΝΤΗΡΗΣΗ ΠΑΙ∆ΙΚΩΝ ΧΑΡΩΝ ΤΟΥ ∆ΗΜΟΥ ΜΑΣ ΕΤΟΥΣ 2013» προϋπολογισµού 7.000,00 ευρώ.</t>
  </si>
  <si>
    <t>ΒΕΥΣΩ10-ΒΘ2</t>
  </si>
  <si>
    <t>Έγκριση πρακτικών ∆ηµοπρασίας της παροχής υπηρεσιών «Αποκοµιδή απορριµµάτων ∆.Ε. Μητρουσίου του ∆ήµου Σερρών» για τα έτη 2013-2014</t>
  </si>
  <si>
    <t>Τοµέας Καθαριότητας του ∆ήµου</t>
  </si>
  <si>
    <t>ΒΛ9ΚΩ10-3ΤΟ</t>
  </si>
  <si>
    <t>Εξέταση ενστάσεων κατά της διακήρυξης του έργου: «Βελτίωση Ενεργειακής απόδοσης 5ου ∆ηµοτικού Σχολείου ∆ήµου Σερρών µε την υλοποίηση δράσεων εξοικονόµησης ενέργειας και την εγκατάσταση συστήµατος αβαθούς γεωθερµίας (Υποέργο4».</t>
  </si>
  <si>
    <t>ΒΛ9ΚΩ10-ΓΓΒ</t>
  </si>
  <si>
    <t>Ορισµός δικηγόρου Νοµικής Υπηρεσίας του ∆ήµου για την Εκπροσώπηση του ∆ήµου ενώπιον του Ειρηνοδικείου Σερρών στην εξέταση του µάρτυρος Γεωργίου Νυχτοπάτη.</t>
  </si>
  <si>
    <t>ΒΛ9ΘΩ10-Ρ3Π</t>
  </si>
  <si>
    <t>Ορισµός δικηγόρου Νοµικής Υπηρεσίας του ∆ήµου Σερρών για την άσκηση ενδίκων µέσων κατά της υπ. αριθ. 113/2010 απόφασης Ειρηνοδικείου Σερρών.</t>
  </si>
  <si>
    <t>ΒΛ9ΙΩ10-0ΧΩ</t>
  </si>
  <si>
    <t>ΒΛ93Ω10-757</t>
  </si>
  <si>
    <t>Τμήµα Αγροτικής Οικονοµίας του ∆ήµου</t>
  </si>
  <si>
    <t>ΒΛ93Ω10-0Ω3</t>
  </si>
  <si>
    <t>∆ιάθεση Πίστωσης για την υλοποίηση της παροχής υπηρεσιών για την διερεύνηση των αιτών του φαινόµενου αποκόλλησης Αδρανών από την κύρια πίστα του Αυτοκινητοδροµίου στα Πλαίσια του έργου «Αναβάθµιση υποδοµών Αυτοκινητοδροµίου &amp; Π.Κ.Α. ∆ήµου Σερρών»</t>
  </si>
  <si>
    <t>ΒΛ93Ω10-0Β8</t>
  </si>
  <si>
    <t>Κατακύρωση µέρος της προµήθειας του Επαναληπτικού ανοικτού διαγωνισµού για την προµήθεια ανυψωτικών συστηµάτων για Α.Μ.Ε.Α. και εξοπλισµού πρώτων βοηθειών στα πλαίσια της πράξης SPORTS FOR ALL του ∆ήµου Σερρών.</t>
  </si>
  <si>
    <t>ΒΛ9ΙΩ10-ΨΚΟ</t>
  </si>
  <si>
    <t>Έγκριση δαπάνης, έγκριση τεχνικών προδιαγραφών της προµήθειας φρέσκου γάλακτος έτους 2013 συνολικής δαπάνης 54.237,74 € και καθορισµός τρόπου εκτέλεσης-Πρόχειρος ∆ιαγωνισµός.</t>
  </si>
  <si>
    <t>ΒΛ9ΦΩ10-Ο0Ε</t>
  </si>
  <si>
    <t>Έλεγχος δικαιολογητικών ανάδειξης αναδόχου του έργου: «Ασφαλτοστρώσεις ∆ηµοτικής Ενότητας Λευκώνα».</t>
  </si>
  <si>
    <t>ΒΛ9ΦΩ10-Γ3Ο</t>
  </si>
  <si>
    <t>Έλεγχος δικαιολογητικών ανάδειξης αναδόχου του έργου: «Ασφαλτοστρώσεις ∆ηµοτικής Ενότητας Σκουτάρεως».</t>
  </si>
  <si>
    <t>ΒΕΥ2Ω10-ΛΟΒ</t>
  </si>
  <si>
    <t>Έγκριση ανατροπών αποφάσεων ανάληψης υποχρέωσης ∆ήµου Σερρών οικονοµικού έτους 2012.</t>
  </si>
  <si>
    <t>ΒΛ9ΔΩ10-Ι5Κ</t>
  </si>
  <si>
    <t>Ορισµός δικηγόρου Νοµικής Υπηρεσίας του ∆ήµου Σερρών για την εκπροσώπηση του ∆ήµου µας ενώπιον του ∆ιοικητικού Πρωτοδικείου Σερρών έναντι της αγωγής της κ. Βικτωρίας Ουρούµογλου.</t>
  </si>
  <si>
    <t>ΒΛ9ΦΩ10-ΟΒΤ</t>
  </si>
  <si>
    <t>Καθορισµός όρων δηµοπράτησης της προµήθειας ενός απορριµµατοφόρου 16 κ.µ. και διάθεσης σχετικής πίστωσης.</t>
  </si>
  <si>
    <t>ΒΛ9ΦΩ10-ΡΓ1</t>
  </si>
  <si>
    <t>Καθορισµός όρων δηµοπράτησης της προµήθειας κάδων κοµποστοποίησης και διάθεσης σχετικής πίστωσης.</t>
  </si>
  <si>
    <t>ΒΛ93Ω10-Β6Ω</t>
  </si>
  <si>
    <t>Ανάθεση παροχής υπηρεσιών των Βελτιωµένων εκδόσεων (RELEASES) των προγραµµάτων του ∆ήµου.</t>
  </si>
  <si>
    <t>Tµήµα Μηχανογράφησης Τεχνολογιών Πληροφόρησης και Επικοινωνιών του ∆ήµου</t>
  </si>
  <si>
    <t>ΒΛ9ΘΩ10-ΟΘ5</t>
  </si>
  <si>
    <t>Έγκριση διάθεση πίστωσης για τα έργα 1) Ασφαλτόστρωσητοπικής Κοινότητας Αναγέννησης και 2) Κατασκευή δεξαµενής για ρίψη Σταυρού Τοπικής Κοινότητας Αναγέννησης.</t>
  </si>
  <si>
    <t>Tµήµα Προµηθειών Τεχνικών έργων του ∆ήµου</t>
  </si>
  <si>
    <t>ΒΛ9ΦΩ10-ΦΦ8</t>
  </si>
  <si>
    <t>Έγκριση πρακτικών δηµοπρασίας του έργου: « Ασφαλτοστρώσεις ∆ηµοτικής Ενότητας Μητρουσίου».</t>
  </si>
  <si>
    <t>ΒΛ9ΘΩ10-90Ε</t>
  </si>
  <si>
    <t>Ορισµός δικηγόρου για την εκπροσώπηση του ∆ήµου στην Εισαγγελία Πληµµελειοδικών Σερρών και προς το ΥΠΕΚΑ. (για υπόθεση του ΧΥΤΑ).</t>
  </si>
  <si>
    <t>ΒΛ9ΘΩ10-4ΟΔ</t>
  </si>
  <si>
    <t>ΧΟΡΗΓΗΣΗ ΟΙΚΟΝΟΜΙΚΟΥ ΒΟΗΘΗΜΑΤΟΣ ΣΕ ΑΣΤΕΓΟ ΠΟΛΙΤΗ</t>
  </si>
  <si>
    <t>Τµήµα Κοινωνικής Προστασίας ∆ήµου</t>
  </si>
  <si>
    <t>ΒΛ9ΦΩ10-4ΨΩ</t>
  </si>
  <si>
    <t>Συγκρότηση τριµελούς επιτροπής αξιολόγησης των τεχνικών στοιχείων και οικονοµικών προσφορών του διαγωνισµού για την «Προµήθεια ενός απορριµµατοφόρου 16 κ.µ.», κατά το άρθρο 28 του ΕΚΠΟΤΑ.</t>
  </si>
  <si>
    <t>ΒΛ9ΦΩ10-ΣΥΒ</t>
  </si>
  <si>
    <t>Συγκρότηση τριµελούς επιτροπής αξιολόγησης των τεχνικών στοιχείων και οικονοµικών προσφορών του διαγωνισµού για την «Προµήθεια κάδων κοµποστοποίησης», κατά το άρθρο 28 του ΕΚΠΟΤΑ.</t>
  </si>
  <si>
    <t>ΒΕΥ5Ω10-ΕΔ1</t>
  </si>
  <si>
    <t>Έγκριση 1ου πρακτικού του διαγωνισµού της πράξης: « Κοινωνικό Ολοκληρωµένο Πληροφοριακό Σύστηµα του ∆ήµου Σερρών».</t>
  </si>
  <si>
    <t>Επιτροπή ∆ιεξαγωγής ∆ιαγωνισµών του ∆ήµου</t>
  </si>
  <si>
    <t>ΒΛ9ΙΩ10-ΓΕΓ</t>
  </si>
  <si>
    <t>Έγκριση δαπάνης, διάθεση πίστωσης, έγκριση τεχνικών Προδιαγραφών ΤΗΣ ΜΕΛΕΤΗΣ «ΠΡΟΜΗΘΕΙΑ ΖΩΟΤΡΟΦΩΝ ΓΙΑ ΤΙΣ ΑΝΑΓΚΕΣ ΤΟΥ ∆ΗΜΟΤΙΚΟΥ ΚΥΝΟΚΟΜΕΙΟΥ» προϋπολογισµού18.441,60 € και καθορισµός τρόπου εκτέλεσης -ΠΡΟΧΕΙΡΟΣ ∆ΙΑΓΩΝΙΣΜΟΣ.</t>
  </si>
  <si>
    <t>Τµήµα Αγροτικής Κτηνοτροφικής Παραγωγής ∆ήµου</t>
  </si>
  <si>
    <t>ΒΛΛ6Ω10-Ρ48</t>
  </si>
  <si>
    <t>Ακύρωση της υπ. αριθ. 451/2013 Α.Ο.Ε.</t>
  </si>
  <si>
    <t>ΒΛΛ6Ω10-ΘΘΙ</t>
  </si>
  <si>
    <t>Έγκριση πρακτικών και κατακύρωση του διαγωνισµού για την προµήθεια ειδών τεχνολογιών, πληροφορικής, επικοινωνιών &amp; λογισµικού, προϋπολογισθείσας αξίας 14.568,40 € χωρίς Φ.Π.Α.</t>
  </si>
  <si>
    <t>ΒΛΛ6Ω10-6ΧΥ</t>
  </si>
  <si>
    <t>Έγκριση πρακτικών ∆ιαγωνισµού για την ανάθεση µελέτης µε τίτλο ΜΕΛΕΤΗ ΕΠΕΜΒΑΣΕΩΝ ΕΞΟΙΚΟΝΟΜΗΣΗΣ ΕΝΕΡΓΕΙΑΣ ΣΕ ∆ΗΜΟΤΙΚΑ ΚΤΙΡΙΑ και κατακύρωση αποτελέσµατος.</t>
  </si>
  <si>
    <t>ΒΛΛΩΩ10-ΣΤΤ</t>
  </si>
  <si>
    <t>Έγκριση και διάθεση πίστωσης που αφορά την αµοιβή ορκωτού ελεγκτή λογιστή για έλεγχο οικονοµικών καταστάσεων έτους 2011.</t>
  </si>
  <si>
    <t>ΒΛ9ΝΩ10-ΡΣΨ</t>
  </si>
  <si>
    <t>Έγκριση και διάθεση πίστωσης για επιστροφή χρηµάτων στον κ. Χριστόφορο Τσούτση.</t>
  </si>
  <si>
    <t>ΒΛ9ΝΩ10-Ξ17</t>
  </si>
  <si>
    <t>Έγκριση και διάθεση πιστώσεων που αφορούν τη δαπάνη για ταχυδροµικά τέλη</t>
  </si>
  <si>
    <t>ΒΛΛ4Ω10-ΙΝ9</t>
  </si>
  <si>
    <t>Έλεγχος της υπ. αριθ. 70/2013 απόφασης του Ειρηνοδικείου Σερρών που αφορά αγωγή κατά του ∆ήµου Σερρών του κ. Νακαχτσή Κλεάνθη του Αθηνόδωρου.</t>
  </si>
  <si>
    <t>Tµήµα ∆/κων ∆ιαδικασιών του ∆ήµου</t>
  </si>
  <si>
    <t>ΒΛΛ4Ω10-ΣΡΞ</t>
  </si>
  <si>
    <t>Έγκριση πρακτικού ∆ηµοπρασίας του έργου«Παροχή υπηρεσιών φιλοξενίας, µετακίνησης και διατροφής στο πλαίσιο υλοποίησης του έργου &lt;&lt;SPORTS FOR ALL&gt;&gt; του ∆ήµου Σερρών» προϋπολογισµού 11.220,00 ευρώ συµπεριλαµβανοµένου του Φ.Π.Α.</t>
  </si>
  <si>
    <t>ΒΛΛΜΩ10-ΜΒΚ</t>
  </si>
  <si>
    <t>ΜΗ Καταγγελία της µισθωτικής σχέσης του «Κοινοτικού Καφενείου» (ταβέρνα) ΚΑΤΑΡΡΑΚΤΕΣ</t>
  </si>
  <si>
    <t>Tµήµα Προσόδων &amp; ∆ηµόσιας Περιουσίας του ∆ήµου</t>
  </si>
  <si>
    <t>ΒΛΛΩΩ10-ΩΗ2</t>
  </si>
  <si>
    <t>Έγκριση δαπάνης: α) ποσού 49,20 € για τη δηµοσίευση ανακοίνωσης ∆ασαρχείου Σερρών, β) ποσού 66,42 € για τη δηµοσίευση της περίληψης διακήρυξης πρόχειρου διαγωνισµού για µέρος προµήθειας κτηνιατρικών φαρµάκων και ειδών για το Κυνοκοµείο και ψήφιση σχετικών πιστώσεων.</t>
  </si>
  <si>
    <t>ΒΛΛΟΩ10-9ΤΖ</t>
  </si>
  <si>
    <t>Έγκριση πρακτικών δηµοπρασίας του έργου «Βελτίωση ενεργειακής απόδοσης 5ου ∆ηµοτικού Σχολείου ∆ήµου Σερρών µε την υλοποίηση δράσεων εξοικονόµησης ενέργειας και την εγκατάσταση συστήµατος αβαθούς γεωθερµίας (ΥΠΟΕΡΓΟ4)»</t>
  </si>
  <si>
    <t>ΒΛΛ6Ω10-8ΛΨ</t>
  </si>
  <si>
    <t>Έγκριση κατάργησης Παγίου Τέλους Ακινήτων του πρώην ∆ήµου Σκουτάρεως.</t>
  </si>
  <si>
    <t>Τµ. Προσόδων του ∆ήµου</t>
  </si>
  <si>
    <t>ΒΛΛΩΩ10-ΡΥΧ</t>
  </si>
  <si>
    <t>Έγκριση δαπάνης για την ταφή απόρων δηµοτών του ∆ήµου Σερρών.</t>
  </si>
  <si>
    <t>Τµήµα ∆ηµοτικών Κοιµητηρίων του ∆ήµου</t>
  </si>
  <si>
    <t>ΒΛΛ9Ω10-Κ07</t>
  </si>
  <si>
    <t>Έγκριση δαπάνης: α) ποσού 413,20 € για τη δηµοσίευση περίληψης της αρ. 40640/2013 προκήρυξης για πρόσληψη προσωπικού µε σύµβαση εργασίας Ι∆ΟΧ, β) ποσού 445,26 € για τη δηµοσίευση περίληψης της αρ. 17570/2013 προκήρυξης για πρόσληψη προσωπικού µε σύµβαση εργασίας Ι∆ΟΧ και ψήφιση σχετικών πιστώσεων.</t>
  </si>
  <si>
    <t>ΒΛΛ4Ω10-550</t>
  </si>
  <si>
    <t>Έγκριση δαπάνης για την συντήρηση των πυροσβεστήρων του ∆ήµου Σερρών και διάθεση σχετικής πίστωσης.</t>
  </si>
  <si>
    <t>ΒΛΛΟΩ10-Ν3Τ</t>
  </si>
  <si>
    <t>Έγκριση διάθεσης πίστωσης α) για την υλοποίηση της παροχής υπηρεσίας µε τίτλο « Παροχή υπηρεσιών υποστήριξης της Τεχνικής Υπηρεσίας στην εκπόνηση επιχειρησιακού σχεδίου αναβάθµισης συστήµατος οδοφωτισµού για την αξιοποίηση χρηµατοδοτικών µηχανισµών» και β) για την ανάθεση πραγµατογνωµοσύνης στο ΤΕΕ/ΤΚΜ για το έργο «Αναβάθµιση υποδοµών αυτοκινητοδροµίου και πάρκου κυκλοφοριακής αγωγής ∆ήµου Σερρών»</t>
  </si>
  <si>
    <t>ΒΛΛ0Ω10-2ΨΣ</t>
  </si>
  <si>
    <t>Έγκριση δαπανών και διάθεση πίστωσης της µελέτης «Τοπογράφηση κτηµατογράφηση πολεοδοµική µελέτη περιοχής Ξηροτόπου ∆ήµου Σερρών</t>
  </si>
  <si>
    <t>ΒΛΛΟΩ10-Φ5Α</t>
  </si>
  <si>
    <t>Ορισµός δικηγόρου του ∆ήµου Σερρών για εκδίκαση αγωγής πολίτη του ∆ήµου Σερρών.</t>
  </si>
  <si>
    <t>ΒΛΛΑΩ10-92Λ</t>
  </si>
  <si>
    <t>Ορισµός δικηγόρου Νοµικής Υπηρεσίας του ∆ήµου για την εκπροσώπηση του ∆ήµου ενώπιον του Ειρηνοδικείου Σερρών σε αγωγή για υπόθεση που αφορά το τµήµα ∆ιαχείριση Ακίνητης Περιουσίας.</t>
  </si>
  <si>
    <t>Τµήµα ∆ιαχείρισης Ακίνητης Περιουσίας</t>
  </si>
  <si>
    <t>ΒΕΥ2Ω10-7ΑΛ</t>
  </si>
  <si>
    <t>Έκθεση εσόδων-εξόδων Γ΄ Τριµήνου 2012 για τον έλεγχο υλοποίησης του προϋπολογισµού έτους 2012.</t>
  </si>
  <si>
    <t>ΒΛΛΑΩ10-4ΟΖ</t>
  </si>
  <si>
    <t>Ορισµός δικηγόρου Νοµικής Υπηρεσίας του ∆ήµου για την εκπροσώπηση του ∆ήµου ενώπιον του Μονοµελούς Πρωτοδικείου Σερρών σε αναβληθείσα δικάσιµο για υπόθεση που αφορά το τµήµα ∆ιαχείριση Ακίνητης Περιουσίας</t>
  </si>
  <si>
    <t>ΒΛΛΑΩ10-ΙΞΗ</t>
  </si>
  <si>
    <t>Ορισµός δικηγόρου Νοµικής Υπηρεσίας του ∆ήµου για την εκπροσώπηση του ∆ήµου ενώπιον του Μονοµελούς Πρωτοδικείου Σερρών έναντι της σε αγωγής του κ. ΧΑΤΖΗΑΠΟΣΤΟΛΟΥ ΣΤΥΛΙΑΝΟΥ του ΕΛΕΥΘΕΡΙΟΥ για υπόθεση που αφορά την ∆/νση Τεχνικών Υπηρεσιών του ∆ήµου µας.</t>
  </si>
  <si>
    <t>ΒΛΛΑΩ10-ΣΓ0</t>
  </si>
  <si>
    <t>Ορισµός δικηγόρου Νοµικής Υπηρεσίας του ∆ήµου για την εκπροσώπηση του ∆ήµου ενώπιον του Μονοµελούς Πρωτοδικείου Σερρών στην αίτηση της κ. Μαρίας Σαµαρά χήρας ∆ηµητρίου για υπόθεση που αφορά το τµήµα ∆ιαχείριση Ακίνητης Περιουσίας</t>
  </si>
  <si>
    <t>ΒΛΛΩΩ10-ΙΘΞ</t>
  </si>
  <si>
    <t>Έγκριση δαπάνης προµήθειας σφραγίδων και ανταλλακτικών για τους καυστήρες του ∆.Κ. Μητρουσίου, Σκουτάρεως, Λευκώνα και κτιρίου Σχοινά και για την επισκευή του ΚΗΙ9544 επιβατικού αυτοκινήτου και ψήφιση σχετικών πιστώσεων.</t>
  </si>
  <si>
    <t>ΒΛΛΩΩ10-Θ6Θ</t>
  </si>
  <si>
    <t>Ορισµός δικηγόρου Νοµικής Υπηρεσίας του ∆ήµου για την εκπροσώπηση του ∆ήµου ενώπιον του ∆ιοικητικού Εφετείου Θεσ/νίκης για υπόθεση που αφορά επιβολή εισφοράς σε χρήµα κατά της αξίας ακινήτου, εκ του τµήµατος Υπηρεσίας ∆όµησης του ∆ήµου.</t>
  </si>
  <si>
    <t>ΒΛΛΩΩ10-ΘΙΜ</t>
  </si>
  <si>
    <t>ΒΛΛΩΩ10-0Ν5</t>
  </si>
  <si>
    <t>ΒΛΛ6Ω10-27Η</t>
  </si>
  <si>
    <t>Ορισµός δικηγόρου Νοµικής Υπηρεσίας του ∆ήµου για την εκπροσώπηση του ∆ήµου ενώπιον του ∆ιοικητικού Εφετείου Θεσ/νίκης για υπόθεση που αφορά έφεση του ∆ήµου Σερρών κατά της Αγροτικής Τράπεζας της Ελλάδος και της υπ. αριθ. 110/2010 απόφασης του Τριµελούς ∆ιοικητικού Πρωτοδικείου Σερρών.</t>
  </si>
  <si>
    <t>ΒΛΛΟΩ10-9ΞΥ</t>
  </si>
  <si>
    <t>Έγκριση πρακτικών ανοικτού διαγωνισµού για την παροχή υπηρεσιών: «Ασφάλιση τροχαίου υλικού του ∆ήµου Σερρών».</t>
  </si>
  <si>
    <t>Πρόεδρος Επιτροπής κα Μυλωνά ∆ήµητρα</t>
  </si>
  <si>
    <t>ΒΕΥ2Ω10-ΩΗΓ</t>
  </si>
  <si>
    <t>Έκθεση εσόδων-εξόδων ∆΄ Τριµήνου 2012 για τον έλεγχο υλοποίησης του προϋπολογισµού έτους 2012.</t>
  </si>
  <si>
    <t>ΒΛΛΨΩ10-ΠΟ9</t>
  </si>
  <si>
    <t>Έγκριση διάθεσης ποσών για δηµοσιεύσεις ανακοινώσεων του ∆ασάρχη Σερρών, σχετικά µε πράξεις χαρακτηρισµού έκτασης του Αγροκτήµατος Σερρών, του πρώην Στρατοπέδου Εµµανουήλ Παπά και Παπαλουκά, καθώς και µε έγκριση πολεοδοµικών µελετών χώρων πρώην Στρατοπέδων και ψήφισης σχετικών πιστώσεων.</t>
  </si>
  <si>
    <t>ΒΛΛ9Ω10-ΒΘ9</t>
  </si>
  <si>
    <t>Έγκριση δαπάνης: α) ποσού 29,52 € για τη δηµοσίευση ανακοίνωσης του Περιφερειακού Συµβουλίου (Π.Σ.), σχετικά µε έγκριση Περιβαλλοντικών Όρων, β) ποσού 36,90 € για την δηµοσίευση ανακοίνωσης του Π. Σ. σχετικά µε έγκριση Περιβαλλοντικών Όρων, γ) ποσού 235,14 € για τη δηµοσίευση της αρ. 136/2013 Α∆Σ, δ) ποσού 228,78 € για την δηµοσίευση της αρ. 52/2013 απόφασης και ψήφιση σχετικών πιστώσεων.</t>
  </si>
  <si>
    <t>ΒΛΛ6Ω10-ΔΙΥ</t>
  </si>
  <si>
    <t>Ακύρωση της αριθµ. 340/2013 Απόφασης Οικονοµικής Επιτροπής του ∆ήµου Σερρών.</t>
  </si>
  <si>
    <t>ΒΛΕΖΩ10-Ρ1Ρ</t>
  </si>
  <si>
    <t>Έλεγχος δικαιολογητικών ανάδειξης αναδόχου του έργου ΑΣΦΑΛΤΟΣΤΡΩΣΕΙΣ ∆ΗΜΟΤΙΚΗΣ ΕΝΟΤΗΤΑΣ Κ. ΜΗΤΡΟΥΣΙΟΥ.</t>
  </si>
  <si>
    <t>ΒΛΛ4Ω10-ΚΦΣ</t>
  </si>
  <si>
    <t>Ανάθεση του Προϋπολογιστικού Πίνακα και της Τεχνικής περιγραφής των εργασιών«Κατασκευή κιόσκι στην παιδική Χαρά της Τ.Κ. Επταµύλων»</t>
  </si>
  <si>
    <t>ΒΛΛΟΩ10-28Κ</t>
  </si>
  <si>
    <t>Έγκριση πληρωµής προνοιακών επιδοµάτων ΙΟΥΛΙΟΥ– ΑΥΓΟΥΣΤΟΥ 2013.</t>
  </si>
  <si>
    <t>ΒΛΛ3Ω10-9ΤΥ</t>
  </si>
  <si>
    <t>Ορισµός δικηγόρου Νοµικής Υπηρεσίας του ∆ήµου Σερρών για την Νοµική κάλυψη πρώην υπαλλήλων του ∆ήµου Σερρών.</t>
  </si>
  <si>
    <t>ΒΛΛΘΩ10-ΝΦΦ</t>
  </si>
  <si>
    <t>Έγκριση δαπάνης για το έργο«Ηλεκτρολογικές εργασίες εγκατάστασης νέας παροχής στο15ο-21ο ∆ηµοτικό Σχολείο» και διάθεση πίστωσης.</t>
  </si>
  <si>
    <t>ΒΛΛΤΩ10-Υ2Ξ</t>
  </si>
  <si>
    <t>Έγκριση πρακτικών δηµοπρασίας για την εκµίσθωση από τον ∆ήµο Σερρών του υπ΄ αριθµ. 26 καταστήµατος του ∆ηµοτικού Μεγάρου.</t>
  </si>
  <si>
    <t>ΒΕΥΤΩ10-ΩΝΒ</t>
  </si>
  <si>
    <t>Έλεγχος δικαιολογητικών ανάδειξης αναδόχου του έργου «Περιβαλλοντική αποκατάσταση ΧΑ∆Α ∆ηµοτικών Ενοτήτων Σκουτάρεως και Κ. Μητρουσίου και της Τοπικής Κοινότητας Ανω Βροντούς του ∆ήµου Σερρών</t>
  </si>
  <si>
    <t>ΒΛΛΑΩ10-ΙΦ5</t>
  </si>
  <si>
    <t>ΜΗ ΑΣΚΗΣΗ ενδίκων µέσων κατά της υπ. αριθ. 36/2013 απόφασης του Ειρηνοδικείου Σερρών.</t>
  </si>
  <si>
    <t>ΒΛΛΙΩ10-ΝΡΥ</t>
  </si>
  <si>
    <t>Έγκριση προϋπολογιστικού πίνακα του έργου «∆ιαµόρφωση πλατείας οικισµού Οινούσσας», Καθορισµός του τρόπου εκτέλεσής του.</t>
  </si>
  <si>
    <t>ΒΛΛ0Ω10-Ν28</t>
  </si>
  <si>
    <t>Ανάθεση του προϋπολογιστικού πίνακα και της Τεχνικής Περιγραφής των Εργασιών«»Τσιµεντοστρώσεις στην θέση Προφήτη Ηλία προς Βάλτο</t>
  </si>
  <si>
    <t>ΒΛΛΙΩ10-4ΚΔ</t>
  </si>
  <si>
    <t>Ανάθεση του προϋπολογιστικού πίνακα και της Τεχνικής Περιγραφής των Εργασιών«Επισκευή µνηµείου κεντρικής πλατείας Κ. Καµήλας» και διάθεση πίστωσης.</t>
  </si>
  <si>
    <t>ΒΛΛΙΩ10-ΖΕ2</t>
  </si>
  <si>
    <t>Ανάθεση εκτέλεσης του έργου«Κατασκευή οχετού στη θέση ΣΑΡΙΑΡΙ» και διάθεση πίστωσης.</t>
  </si>
  <si>
    <t>ΒΛΛΙΩ10-5ΓΑ</t>
  </si>
  <si>
    <t>Ανάθεση εκτέλεσης του έργου«Βελτίωση σωληνωτών διαβάσεων Ορεινής» και διάθεση πίστωσης</t>
  </si>
  <si>
    <t>ΒΛΛΘΩ10-ΠΜΠ</t>
  </si>
  <si>
    <t>Έγκριση και ανάθεση του προϋπολογιστικού πίνακα και της Τεχνικής Περιγραφής των Εργασιών«Συµπληρωµατικές εργασίες συντήρησης στα 28ο, 30ο 31ο Νηπιαγωγεία του ∆ήµου Σερρών»</t>
  </si>
  <si>
    <t>ΒΛΛ3Ω10-ΓΟ6</t>
  </si>
  <si>
    <t>Ανάθεση µελέτης µε τίτλο «Μελέτη Οριοθέτησης τµήµατος 1200 µ. Ποταµού Αγίου Ιωάννη», έγκριση σχεδίου Σύµβασης.</t>
  </si>
  <si>
    <t>ΒΛΛΗΩ10-ΡΦΚ</t>
  </si>
  <si>
    <t>Έγκριση και διάθεση πίστωσης για διάφορες οφειλές του ∆ήµου µας.</t>
  </si>
  <si>
    <t>ΒΛΛΗΩ10-Μ09</t>
  </si>
  <si>
    <t>Ψήφιση και διάθεση πιστώσεων για ΠΑΡΟΧΗ ΥΠΗΡΕΣΙΩΝ.</t>
  </si>
  <si>
    <t>ΒΕΥΤΩ10-363</t>
  </si>
  <si>
    <t>Ψήφιση πιστώσεων έτους2013 για προµήθεια υγρών καυσίµων του ∆ήµου Σερρών.</t>
  </si>
  <si>
    <t>ΒΛΛ3Ω10-ΦΑ3</t>
  </si>
  <si>
    <t>Ανάθεση του προϋπολογιστικού πίνακα και της σχετικής Περιγραφής των εργασιών«Κατασκευή επέκτασης Περίφραξης Κοιµητηρίων Τ.Κ. Βαµβακιάς» και διάθεση Πίστωσης.</t>
  </si>
  <si>
    <t>ΒΛΛ3Ω10-Σ4Υ</t>
  </si>
  <si>
    <t>Ανάθεση του προϋπολογιστικού πίνακα και της Τεχνικής Περιγραφής των εργασιών«Αποπεράτωση περίφραξης γηπέδου Τ.Κ. Άνω Καµήλας»</t>
  </si>
  <si>
    <t>ΒΛΛΑΩ10-Π63</t>
  </si>
  <si>
    <t>Έγκριση πρακτικών εκποίησης άχρηστων υλικών του ∆ήµου Σερρών.</t>
  </si>
  <si>
    <t>Τµήµα Προσόδων &amp; δηµόσιας Περιουσίας</t>
  </si>
  <si>
    <t>ΒΛΛΗΩ10-Ψ23</t>
  </si>
  <si>
    <t>Ορισµός δικηγόρου Νοµικής Υπηρεσίας του ∆ήµου Σερρών για την εκδίκαση αγωγής των Κυριάκου και Αποστόλου Παπαδόπουλου κατά του ∆ήµου Σερρών. (∆ιαδικασία µικροδιαφορών)</t>
  </si>
  <si>
    <t>Τµήµα Νοµικής Υπηρεσίας ∆όµησης του ∆ήµου</t>
  </si>
  <si>
    <t>ΒΛΛΜΩ10-0ΗΒ</t>
  </si>
  <si>
    <t>Καθορισµός όρων δηµοπρασίας εκµίσθωσης δύο τµηµάτων του υπ. αριθ. 2971α αγροτεµαχίου του αγροκτήµατος Ανω Βροντούς.</t>
  </si>
  <si>
    <t>ΒΛΛΜΩ10-4Λ6</t>
  </si>
  <si>
    <t>Έγκριση Αυτοδίκαιης λύσης της µίσθωσης τµήµατος του υπ. αριθ. 333 αγροτεµαχίου του αγροκτήµατος Λευκώνα.</t>
  </si>
  <si>
    <t>ΒΛΛΙΩ10-ΤΝΟ</t>
  </si>
  <si>
    <t>ΒΛΛΞΩ10-ΤΧΓ</t>
  </si>
  <si>
    <t>Τροποποίηση της υπ΄ αρ. 114/2013 Α.Ο.Ε. και ανάθεση στην δικηγόρο του ∆ήµου κα Τσινίκα Μαρία της άσκησης εκ µέρους του ∆ήµου µας, πρόσθετης παρέµβασης υπέρ του κ. Γαβριηλίδη Γεωργίου, κατά την εκδίκαση της αγωγής του.</t>
  </si>
  <si>
    <t>Αίτηση του κ. ΓΕΩΡΓΙΟΥ ΓΑΒΡΙΗΛΙ∆Η του Ιωάννη και της Πηνελόπης, κατοίκου της ∆.Κ. Σερρών</t>
  </si>
  <si>
    <t>ΒΛΛΜΩ10-ΩΛ8</t>
  </si>
  <si>
    <t>Έγκριση δαπάνης(διάθεση πίστωσης) και ψήφιση πίστωσης της παροχής υπηρεσιών 24ωρης υπηρεσίας τηλεφωνικής υποστήριξης, προϋπολογισµού 11.999,88 € (συµπεριλαµβαν. του Φ.Π.Α.) στο πλαίσιο υλοποίησης της πράξης «Κοινωνικό ολοκληρωµένο πληροφοριακό σύστηµα του ∆ήµου Σερρών»</t>
  </si>
  <si>
    <t>ΒΛΛΤΩ10-ΛΞΤ</t>
  </si>
  <si>
    <t>Ορισµός δικηγόρου Νοµικής Υπηρεσίας του ∆ήµου Σερρών για την άσκηση έφεσης κατά της υπ. αριθ. 70/2013 απόφασης του Ειρηνοδικείου Σερρών, (υπόθεση κ. ΝΑΚΑΧΤΣΗ ΚΛΕΑΝΘΗ</t>
  </si>
  <si>
    <t>ΒΕΥΜΩ10-ΛΙΙ</t>
  </si>
  <si>
    <t>Έγκριση πρακτικών δηµοπρασίας για την εκµίσθωση από τον ∆ήµο Σερρών του κυλικείου(εντός του ∆ηµοτικού Μεγάρου).</t>
  </si>
  <si>
    <t>ΒΛΛΤΩ10-ΝΨΡ</t>
  </si>
  <si>
    <t>Έγκριση µελέτης &amp; Καθορισµός όρων διακήρυξης του Ανοικτού ∆ιαγωνισµού για την ΠΡΟΜΗΘΕΙΑ ΚΑΥΣΙΜΩΝ ΓΙΑ ΤΙΣ ΑΝΑΓΚΕΣ ΤΩΝ ΝΟΜΙΚΩΝ ΠΡΟΣΩΠΩΝ ΤΟΥ ∆ΗΜΟΥ ΣΕΡΡΩΝ.</t>
  </si>
  <si>
    <t>ΒΛΛ3Ω10-ΞΔΠ</t>
  </si>
  <si>
    <t>Ορισµός δικηγόρου Νοµικής Υπηρεσίας του ∆ήµου Σερρών για την άσκηση ενδίκων µέσων κατά της µε αριθ. 189/2013 απόφασης του Μονοµελούς ∆ιοικητικού Πρωτοδικείου Σερρών.</t>
  </si>
  <si>
    <t>Νοµική Υπηρεσίας του ∆ήµου</t>
  </si>
  <si>
    <t>ΒΛ1ΟΩ10-ΥΓΠ</t>
  </si>
  <si>
    <t>Έγκριση µελέτης&amp; Καθορισµός όρων διακήρυξης του ανοικτού διαγωνισµού ΠΡΟΜΗΘΕΙΑΣ ΤΡΟΦΙΜΩΝ και λοιπών αναλώσιµων ειδών παντοπωλείου για τις ανάγκες του Οργανισµού Προσχολικής Αγωγής Κοινωνικής Πολιτικής &amp; Αθλητισµού του ∆ήµου Σερρών έτους2014 προϋπολογισµού 196.189,68 € µε Φ.Π.Α.</t>
  </si>
  <si>
    <t>ΒΛ1ΠΩ10-Τ31</t>
  </si>
  <si>
    <t>Ορισµός δικηγόρου του ∆ήµου Σερρών για την παροχή νοµικής κάλυψης σε υπαλλήλους του ∆ήµου Σερρών.</t>
  </si>
  <si>
    <t>ΒΛ11Ω10-4ΓΔ</t>
  </si>
  <si>
    <t>Εξέταση ένστασης κατά του πρακτικού Αξιολόγησης τεχνικών προσφορών του πρόχειρου Επαναληπτικού διαγωνισµού για µέρος της προµήθειας Μέσων Ατοµικής Προστασίας.</t>
  </si>
  <si>
    <t>ΒΛ19Ω10-0ΒΖ</t>
  </si>
  <si>
    <t>Έγκριση δαπάνης, διάθεση πίστωσης της ΠΡΟΜΗΘΕΙΑΣ ΣΑΚΩΝ ΑΠΟΡΡΙΜΜΑΤΩΝ ΕΤΟΥΣ 2013 ΠΡΟΫΠΟΛΟΓΙΣΘΕΙΣΑΣ ΑΞΙΑΣ 7.921,20 €, έγκριση των τεχνικών προδιαγραφών, καθορισµός τρόπου εκτέλεσης- ΠΡΟΧΕΙΡΟΣ ∆ΙΑΓΩΝΙΣΜΟΣ.</t>
  </si>
  <si>
    <t>ΒΛ14Ω10-Δ1Ν</t>
  </si>
  <si>
    <t>Έγκριση εκτέλεσης του έργου: «Συντήρηση δηµοτικού κτιρίου στην Τ.Κ. Ορεινής», µε απ΄ ευθείας ανάθεση.</t>
  </si>
  <si>
    <t>ΒΛ1ΟΩ10-ΝΗΞ</t>
  </si>
  <si>
    <t>Έγκριση και διάθεση πίστωσης που αφορά την πληρωµή προς ΑΝΕΣΕΡ εσόδων από ∆ΕΥΑΣ για εφαρµογή προγράµµατος κουνουπιών εκ του ∆ήµου Σερρών έτους 2013.</t>
  </si>
  <si>
    <t>ΒΛ1ΟΩ10-9Ω4</t>
  </si>
  <si>
    <t>Έγκριση και διάθεση πιστώσεων που αφορούν τις λοιπές δαπάνες για ύδρευση, άρδευση, φωτισµό, καθαριότητα.</t>
  </si>
  <si>
    <t>ΒΕΥΑΩ10-Μ46</t>
  </si>
  <si>
    <t>Έγκριση πρακτικών δηµοπρασίας για την εκµίσθωση του υπ΄ αριθµ. 158 αγροτεµαχίου Χριστός του ∆ήµου Σερρών.</t>
  </si>
  <si>
    <t>ΒΛ1ΔΩ10-Ω6Α</t>
  </si>
  <si>
    <t>Κατακύρωση του ανοικτού διαγωνισµού για την προµήθεια ανταλλακτικών για εκτυπωτές-πολυµηχανήµατα και φωτοτυπικά έτους 2013 προϋπολογισµού 51.950,06 € µε Φ.Π.Α.</t>
  </si>
  <si>
    <t>ΒΛ1ΒΩ10-ΜΨΔ</t>
  </si>
  <si>
    <t>Έγκριση δαπάνης παροχής υπηρεσίας για την ετήσια συντήρηση της Θέρµανσης-Κλιµατισµού-Αερισµού του Κινηµατοθεάτρου &lt;ΑΣΤΕΡΙΑ&gt; και διάθεση σχετικής πίστωσης.</t>
  </si>
  <si>
    <t>ΒΛ1ΒΩ10-ΖΥΓ</t>
  </si>
  <si>
    <t>Έγκριση δαπάνης για την επισκευή της κλιµατιστικής µονάδας του κινηµατοθεάτρου «ΑΣΤΕΡΙΑ» του ∆ήµου Σερρών και διάθεση σχετικής πίστωσης.</t>
  </si>
  <si>
    <t>ΒΛ1ΒΩ10-ΨΛΩ</t>
  </si>
  <si>
    <t>Έγκριση δαπάνης για την προµήθεια και τοποθέτηση αντλίας στο ∆ηµοτικό Κατάστηµα Λευκώνα και διάθεση σχετικής πίστωσης.</t>
  </si>
  <si>
    <t>ΒΕΙΠΩ10-ΖΓΨ</t>
  </si>
  <si>
    <t>Αντικατάσταση αναπληρωµατικού µέλους λόγω συνταξιοδότησης της επιτροπής διενέργειας διαγωνισµών, αξιολόγησης τεχνικών και οικονοµικών προσφορών προµηθειών των διαγωνισµών έτους 2012 κατά τις διατάξεις του άρθρου 72 παρ. 1 ε του 3852/2012, η οποία συγκροτήθηκε µε την107/2012 Α.Ο.Ε.</t>
  </si>
  <si>
    <t>Τµήµα Προµηθειών του ∆ήµου</t>
  </si>
  <si>
    <t>ΒΛ1ΠΩ10-ΔΕΘ</t>
  </si>
  <si>
    <t>Ορισµός δικηγόρου του ∆ήµου µας για την εκπροσώπησή του ενώπιον του ∆ιοικητικού Εφετείου Θεσσαλονίκης κατά την05-Νοεµβρίου 2013, εκ του τµήµατος Υπηρεσίας ∆ΟΜΗΣΗΣ</t>
  </si>
  <si>
    <t>Tµήµα Υπηρεσίας ∆όµησης του ∆ήµου</t>
  </si>
  <si>
    <t>ΒΛ1ΠΩ10-ΤΚ9</t>
  </si>
  <si>
    <t>Ορισµός δικηγόρου του ∆ήµου µας για την εκπροσώπησή του ενώπιον του ∆ιοικητικού Εφετείου Θεσσαλονίκης κατά την11 - ∆εκεµβρίου 2013, εκ του τµήµατος Υπηρεσίας ∆ΟΜΗΣΗΣ</t>
  </si>
  <si>
    <t>ΒΛ11Ω10-Η2Υ</t>
  </si>
  <si>
    <t>Έγκριση δαπάνης προµήθειας σιδηρικών ειδών, καυσόξυλων, ανταλλακτικών για την επισκευή φωτοτυπικών µηχανηµάτων, προµήθειας-έκδοσης φωτοτυπιών των χαρτιών και σχεδίων της Τεχνικής Υπηρεσίας και ψήφιση σχετικών πιστώσεων.</t>
  </si>
  <si>
    <t>ΒΛ1ΟΩ10-1Υ2</t>
  </si>
  <si>
    <t>Ορισµός δικηγόρου του ∆ήµου µας για την εκδίκαση Έφεσης κατά της υπ. αριθ. 152/2013 απόφαση του Μονοµελούς Πρωτοδικείου Σερρών κατά του ∆ήµου Σερρών, (υπόθεση Κων/νου ∆ερµεντζή).</t>
  </si>
  <si>
    <t>ΒΛ17Ω10-263</t>
  </si>
  <si>
    <t>Έγκριση όρων διακήρυξης και διάθεση πίστωσης του έργου ΟΛΟΚΛΗΡΩΣΗ ΠΑΡΚΟΥ ∆.Κ. ΣΚΟΥΤΑΡΕΩΣ.</t>
  </si>
  <si>
    <t>ΒΛΞΧΩ10-9ΘΟ</t>
  </si>
  <si>
    <t>Έγκριση δαπάνης προµήθειας κλιµατιστικού για το Γραφείο Τύπου και ∆ηµοσίων Σχέσεων και ψήφιση σχετικής πίστωσης.</t>
  </si>
  <si>
    <t>ΒΕΥΤΩ10-9Ρ0</t>
  </si>
  <si>
    <t>Έγκριση πρακτικών ∆ηµοπρασίας της υπηρεσίας « Συντήρηση αγροτικών δρόµων της ∆ηµοτικής Ενότητας Λευκώνα, τις Τοπικές Κοινότητες Ορεινής &amp; Ανω Βροντούς έτους 2013» και επαναδηµοπράτησή του.</t>
  </si>
  <si>
    <t>ΒΛ1ΨΩ10-Ψ34</t>
  </si>
  <si>
    <t>Έγκριση δαπάνης παροχής φιλοξενίας σε ξενοδοχείο µε ηµιδιατροφή για δύο άτοµα, συντονιστές του Εθελοντισµού Οργανισµού για τα παιδιά «το χαµόγελο του παιδιού» και διάθεση σχετικής πίστωσης.</t>
  </si>
  <si>
    <t>∆/νση Κοινωνικής Προστασίας του ∆ήµου</t>
  </si>
  <si>
    <t>ΒΛ14Ω10-5ΧΝ</t>
  </si>
  <si>
    <t>Έγκριση καταβολής δαπάνης δηµοσίευσης ανακοίνωσης του ∆ήµου Σερρών και διάθεση σχετικής πίστωσης.</t>
  </si>
  <si>
    <t>ΒΛ17Ω10-ΗΛΞ</t>
  </si>
  <si>
    <t>Έγκριση ανάθεση µελέτης µε τίτλο«Μελέτη Οριοθέτησης τµήµατος ρέµατος Αγίου Γεωργίου»</t>
  </si>
  <si>
    <t>ΒΛ1ΨΩ10-7Ν7</t>
  </si>
  <si>
    <t>Καθορισµός όρων δηµοπρασίας του έργου«Υπηρεσίες Τεχνικού-Ενεργειακού Συµβούλου για την υποστήριξη του φορέα καθόλη τη διάρκεια κατασκευής του έργου» στα πλαίσια της πράξης«Εγκατάσταση σταθµού Συµπαραγωγής Ηλεκτρισµού και Θερµότητας Υψηλής Αποδοτικότητας (ΣΗΘΥΑ) σε συνδυασµό σε συστήµατα Ψύξης µε χρήση φυσικού αερίου στο Γενικό Νοσοκοµείο Σερρών</t>
  </si>
  <si>
    <t>ΒΛ1ΟΩ10-ΒΙΙ</t>
  </si>
  <si>
    <t>Κατακύρωση µέρος ΤΗΣ ΠΡΟΜΗΘΕΙΑΣ του Επαναληπτικού Ανοικτού διαγωνισµού για την ΠΡΟΜΗΘΕΙΑ ΑΝΥΨΩΤΙΚΩΝ ΣΥΣΤΗΜΑΤΩΝ ΓΙΑ Α.Μ.Ε.Α. ΚΑΙ ΕΞΟΠΛΙΣΜΟΥ ΠΡΩΤΩΝ ΒΟΗΘΕΙΩΝ στα πλαίσια της πράξης SPORTS FOR ALL του ∆ήµου Σερρών.</t>
  </si>
  <si>
    <t>ΒΛ1ΒΩ10-ΡΦ2</t>
  </si>
  <si>
    <t>Καταβολή µισθωµάτων των Σχολικών µονάδων µηνών Απριλίου-Μαίου-Ιουνίου έτους 2013.</t>
  </si>
  <si>
    <t>ΒΛ17Ω10-24Ω</t>
  </si>
  <si>
    <t>Έγκριση ανάθεσης του προϋπολογιστικού πίνακα και τεχνικής περιγραφής των εργασιών«Πλακόστρωση αύλειου χώρου Κοινοτικού καταστήµατος και Κοινοτικού Ιατρείου Κουβουκλίων» και διάθεση (ψήφιση) πίστωσης.</t>
  </si>
  <si>
    <t>ΒΕΙΒΩ10-ΙΒΥ</t>
  </si>
  <si>
    <t>Έγκριση δαπανών και διάθεση(ψήφιση) πιστώσεων για το έτος 2012 των έργων: α) Βελτίωση χάραξης οδού Σερρών- ∆.∆. Ξηροτόπου, β) ∆ιαµόρφωση κεντρικής πλατείας Τ.∆. Κάτω Καµήλας, γ) Οδοστρωσία πόλης Σερρών έτους 2012, από µεταφορά και κατανοµή πιστώσεων ΣΑΤΑ2006 του πρώην ∆ήµου Σερρών.</t>
  </si>
  <si>
    <t>ΒΛ17Ω10-Ο2Μ</t>
  </si>
  <si>
    <t>Έγκριση δαπάνης: α) ποσού 174,66 € για τη δηµοσίευση ανακοίνωσης ∆ηµάρχου, για µίσθωση ακινήτου του ∆ΗΠΕΘΕ, β) ποσού 88,56 € για τη δηµοσίευση ανακοίνωσης ∆ηµάρχου, περί εκποίησης αχρήστων υλικών ∆ήµου, γ) ποσού 49,20 € για τη δηµοσίευση της 587-2013 απόφασης ∆ηµάρχου, σε τοπικές εφηµερίδες και ψήφιση σχετικών πιστώσεων.</t>
  </si>
  <si>
    <t>ΒΕΥΣΩ10-ΕΘ9</t>
  </si>
  <si>
    <t>Έγκριση και διάθεση του συνολικού ποσού των πιστώσεων που αφορούν τα προνοιακά επιδόµατα του ∆ήµου Σερρών οικονοµικού έτους 2013.</t>
  </si>
  <si>
    <t>ΒΛ17Ω10-ΑΧ7</t>
  </si>
  <si>
    <t>Ανάθεση του προϋπολογιστικού πίνακα και της Τεχνικής Περιγραφής των εργασιών«Κατασκευή ψευδοροφής στο 1ο, 3ο και 4ο ΕΠΑΛ-ΕΠΑΣ Σερρών» και διάθεση πίστωσης.</t>
  </si>
  <si>
    <t>ΒΛ1ΒΩ10-ΦΟ8</t>
  </si>
  <si>
    <t>Ανάθεση του προϋπολογιστικού πίνακα και της Τεχνικής Περιγραφής των εργασιών«Ανακατασκευή δαπέδου στο Γυµνάσιο Λευκώνα» και διάθεση πίστωσης.</t>
  </si>
  <si>
    <t>ΒΛ14Ω10-Σ3Ω</t>
  </si>
  <si>
    <t>Έγκριση εκτέλεσης του έργου: «Κατασκευή περίφραξης δηµοτικής έκτασης της Τ.Κ. Προβατά έτους 2013», µε απ΄ ευθείας ανάθεση και διάθεση σχετικής πίστωσης.</t>
  </si>
  <si>
    <t>ΒΛ14Ω10-ΛΨΛ</t>
  </si>
  <si>
    <t>Έγκριση εκτέλεσης του έργου: « Κατασκευή τοιχείου αντιστήριξης στην οδό Πάροδο Χριστοµάνου», µε απ΄ ευθείας ανάθεση και διάθεση σχετικής πίστωσης.</t>
  </si>
  <si>
    <t>ΒΛ14Ω10-ΛΤΑ</t>
  </si>
  <si>
    <t>Έγκριση εκτέλεσης του έργου: «Έργα υδροµάστευσης και συντήρησης ποτίστρας στην θέση Κούτελο Ορεινής Σερρών», µε απ΄ ευθείας ανάθεση και διάθεση σχετικής πίστωσης.</t>
  </si>
  <si>
    <t>ΒΛ1ΒΩ10-ΛΡΣ</t>
  </si>
  <si>
    <t>Συγκρότηση Επιτροπής Αξιολόγησης Τεχνικών και Οικονοµικών Προσφορών του Ανοικτού ∆ιαγωνισµού για την προµήθεια: ΤΡΟΦΙΜΩΝ ΚΑΙ ΛΟΙΠΩΝ ΑΝΑΛΩΣΙΜΩΝ ΕΙ∆ΩΝ ΠΑΝΤΟΠΩΛΕΙΟΥ ΓΙΑ ΤΙΣ ΑΝΑΓΚΕΣ ΤΟΥ ΟΡΓΑΝΙΣΜΟΥ ΠΡΟΣΧΟΛΙΚΗΣ ΑΓΩΓΗΣ ΚΟΙΝΩΝΙΚΗΣ ΠΟΛΙΤΙΚΗΣ &amp; ΑΘΛΗΤΙΣΜΟΥ ΤΟΥ ∆ΗΜΟΥ ΣΕΡΡΩΝ 2014, κατά τις διατάξεις του άρθρου 46 του ΕΚΠΟΤΑ.</t>
  </si>
  <si>
    <t>ΒΛ1ΨΩ10-ΔΧΟ</t>
  </si>
  <si>
    <t>Έγκριση δαπάνης, έγκριση της υπ. αριθ. 93/2013 µελέτης ( τεχνικές προδιαγραφές), τον τρόπο εκτέλεσης, την ψήφιση της σχετικής πίστωσης για την προµήθεια ΑΛΑΤΙΟΥ, ενδεικ. Προϋπολογισµού 12.147,50 € µε Φ.Π.Α.</t>
  </si>
  <si>
    <t>Τµήµα Πολιτικής Προστασίας</t>
  </si>
  <si>
    <t>ΒΛ1ΠΩ10-Δ6Α</t>
  </si>
  <si>
    <t>Έγκριση διάθεσης πίστωσης για την παροχή υπηρεσίας Ιατρού εργασίας και τεχνικού ασφαλείας από εταιρεία (Ε.Ξ.Υ.Π.Π.) στο ∆ήµο Σερρών για χρονικό διάστηµα ενός έτους από την υπογραφή της σύµβασης, ποσού 24.563,10€ µε το Φ.Π.Α.</t>
  </si>
  <si>
    <t>∆/νση ∆ιοικητικών Υπηρεσιών</t>
  </si>
  <si>
    <t>ΒΛ1ΟΩ10-ΙΓΤ</t>
  </si>
  <si>
    <t>Κατακύρωση του ανοικτού διαγωνισµού για την προµήθεια ενός ΑΠΟΡΡΙΜΜΑΤΟΦΟΡΟΥ16 κ.µ. στο πλαίσιο της πράξης &lt;&lt;ΑΝΑΠΤΥΞΗ ΠΡΟΓΡΑΜΜΑΤΟΣ ΟΙΚΙΑΚΗΣ ΚΟΜΠΟΣΤΟΠΟΙΗΣΗΣ&gt;&gt; στο ∆ήµο Σερρών του χρηµατοδοτικού προγράµµατος αστική αναζωογόνηση 2012-2015 του ΠΡΑΣΙΝΟΥ ΤΑΜΕΙΟΥ προϋπολογισθείσας αξίας 160.000,00 € µε Φ.Π.Α.</t>
  </si>
  <si>
    <t>Τµήµα Κίνησης Οχηµάτων</t>
  </si>
  <si>
    <t>ΒΕΥ8Ω10-ΖΟΨ</t>
  </si>
  <si>
    <t>Έγκριση κατάργησης παγίου τέλους ακινήτων του πρώην ∆ήµου Σκουτάρεως</t>
  </si>
  <si>
    <t>ΒΛ1ΠΩ10-Μ5Η</t>
  </si>
  <si>
    <t>∆ιάθεση(ψήφιση) πίστωσης της Προγραµµατικής Σύµβασης «∆ιερεύνηση αποκατάστασης ασφαλτοτάπητα κυκλοφορίας Αυτοκινητοδροµίου»</t>
  </si>
  <si>
    <t>∆/νση Τεχνικών Υπηρεσιών</t>
  </si>
  <si>
    <t>ΒΛ19Ω10-115</t>
  </si>
  <si>
    <t>∆ιόρθωση σφάλµατος της ∆ιακήρυξης Ανοιχτής ∆ηµοπρασίας (Τύπος Β΄) του έργου «Τσιµεντόστρωση-Ασφαλτόστρωση και κατασκευή πεζοδροµίων στην Τοπική Κοινότητα Βαµβακιάς»</t>
  </si>
  <si>
    <t>ΒΛ19Ω10-ΞΡΩ</t>
  </si>
  <si>
    <t>Έλεγχος δικαιολογητικών ανάδειξης αναδόχου του έργου «∆ιαµόρφωση χώρου πλατείας και Πλατείας Αναγνωστόπουλου Τ.Κ. Προβατά»</t>
  </si>
  <si>
    <t>ΒΛ19Ω10-0ΞΔ</t>
  </si>
  <si>
    <t>Κατακύρωση του ανοικτού ∆ιαγωνισµού για την ΠΡΟΜΗΘΕΙΑ ΚΑ∆ΩΝ ΚΟΜΠΟΣΤΟΠΟΙΗΣΗΣ στο πλαίσιο της πράξης «Ανάπτυξη προγράµµατος οικιακής ΚΟΜΠΟΣΤΟΠΟΊΗΣΗΣ» στο ∆ήµο Σερρών του χρηµατοδοτικού προγράµµατος Αστική αναζωογόνηση 2012-2015 του ΠΡΑΣΙΝΟΥ ΤΑΜΕΙΟΥ.</t>
  </si>
  <si>
    <t>ΒΛ1ΓΩ10-ΩΑΥ</t>
  </si>
  <si>
    <t>Έγκριση µελέτης&amp; Καθορισµός όρων διακήρυξης του Ανοικτού διεθνή ∆ιαγωνισµού για την «ΠΡΟΜΗΘΕΙΑ ΚΑΥΣΙΜΩΝ ΤΟΥ ∆ΗΜΟΥ ΣΕΡΡΩΝ ΚΑΙ ΤΩΝ ΝΟΜΙΚΩΝ ΠΡΟΣΩΠΩΝ προϋπολογισµού 969.389,00€ χωρίς Φ.Π.Α. για το έτος 2014»</t>
  </si>
  <si>
    <t>ΒΛ1ΛΩ10-ΠΞ3</t>
  </si>
  <si>
    <t>Έγκριση Στοχοθεσίας Οικονοµικών Αποτελεσµάτων του ∆ήµου Σερρών και των Νοµικών του Προσώπων έτους 2014.</t>
  </si>
  <si>
    <t>ΒΛ19Ω10-45Β</t>
  </si>
  <si>
    <t>Ορισµός δικηγόρου για την εκδίκαση Ανακοπής στην υπ. αριθ.72972/2013 Ανακοπή του Μονοµελούς Πρωτοδικείου Σερρών κατά του ∆ήµου Σερρών.</t>
  </si>
  <si>
    <t>ΒΛ1ΔΩ10-9Ι8</t>
  </si>
  <si>
    <t>Έγκριση τρόπου εκτέλεσης έργου«∆ιαµόρφωση χώρου στάθµευσης στην Τ.Κ. Κάτω Καµήλας» και διάθεση πίστωσης.</t>
  </si>
  <si>
    <t>ΒΛ12Ω10-2ΙΠ</t>
  </si>
  <si>
    <t>Καταγγελία της µισθωτικής σχέσης της αίθουσας δεξιώσεων των Α΄ Νεκροταφείων</t>
  </si>
  <si>
    <t>ΒΛ1ΤΩ10-ΜΟΖ</t>
  </si>
  <si>
    <t>Έγκριση καταβολής χρηµατικών ενταλµάτων που εκκρεµεί η πληρωµή τους λόγω ελλιπών στοιχείων επικοινωνίας µε τους δικαιούχους.</t>
  </si>
  <si>
    <t>ΒΕΤ9Ω10-3ΞΨ</t>
  </si>
  <si>
    <t>Αποζηµίωση καταστηµαταρχών λόγω πληµµύρας.</t>
  </si>
  <si>
    <t>ΒΛ1ΔΩ10-ΥΡΧ</t>
  </si>
  <si>
    <t>ΜΗ άσκηση του ενδίκου µέσου της αναίρεσης κατά της υπ. αριθ. 1479/2013 απόφασης του Εφετείου Θεσσαλονίκης.</t>
  </si>
  <si>
    <t>ΒΛ13Ω10-4ΜΜ</t>
  </si>
  <si>
    <t>Έγκριση εκτέλεσης µε απ’ ευθείας του έργου: « Επισκευές-Συντηρήσεις- Ανακατασκευές στα W.C. του 15ου και 21ου ∆ηµοτικών Σχολείων και 13ου και 20ου Νηπιαγωγείων Σερρών» και διάθεση σχετικής πίστωσης.</t>
  </si>
  <si>
    <t>ΒΛΓ6Ω10-ΜΑΤ</t>
  </si>
  <si>
    <t>Ορισµός δικηγόρου για την εκδίκαση υπόθεσης σωµατικής βλάβης από αµέλεια, ενώπιον του Μονοµελούς Πληµµελειοδικείου Σερρών, σε βάρος του κ. ∆ασκαλόπουλου υπαλλήλου του ∆ήµου Σερρών.</t>
  </si>
  <si>
    <t>Νοµική Υπηρεσία ∆όµησης του ∆ήµου</t>
  </si>
  <si>
    <t>ΒΛ0ΖΩ10-Σ9Ν</t>
  </si>
  <si>
    <t>Ανάθεση στον δικηγόρο του ∆ήµου να παραστεί στο Τριµελές ∆/κό Εφετείο Θεσ/νίκης κατά την εκδίκαση αγωγής της «Μαλιώκας Βασίλειος και Συνεργάτες ΕΠΕ» κατά του ∆ήµου Σερρών.</t>
  </si>
  <si>
    <t>ΒΛ0ΧΩ10-ΚΙΥ</t>
  </si>
  <si>
    <t>Έγκριση διάθεσης πιστώσεων για δηµοσιεύσεις α) απόφασης ∆ηµάρχου και β) περίληψη προκήρυξης.</t>
  </si>
  <si>
    <t>ΒΛΓΨΩ10-ΗΨΠ</t>
  </si>
  <si>
    <t>Έγκριση προκήρυξης Αρχιτεκτονικού ∆ιαγωνισµού Μικρής Κλίµακας « Ανάκτηση -ανάδειξη χώρου διεύρυνσης των οδικών αξόνων ∆. Σολωµού-Μ. Αλεξάνδρου και του ∆ηµοτικού οικοπέδου στο Ο.Π. 210» και διάθεση απαιτούµενης πίστωσης</t>
  </si>
  <si>
    <t>∆.Τ.Υ. του ∆ήµουν</t>
  </si>
  <si>
    <t>ΒΛΓ6Ω10-ΒΥΨ</t>
  </si>
  <si>
    <t>Έγκριση ψήφισης και διάθεσης πίστωσης–Έγκριση δαπάνης και Τρόπος εκτέλεσης της Προµήθειας ενός (1) Μικροµηλίσκου για µέτρηση Παροχών σε ρέµατα.</t>
  </si>
  <si>
    <t>ΒΛΓ6Ω10-Τ54</t>
  </si>
  <si>
    <t>Έγκριση ψήφισης και διάθεσης πίστωσης–Έγκριση δαπάνης και Τρόπος εκτέλεσης της Προµήθειας ενός (1) Φορητού Αγωγιµόµετρου.</t>
  </si>
  <si>
    <t>ΒΛ0ΧΩ10-1ΟΟ</t>
  </si>
  <si>
    <t>Έγκριση εκτέλεσης µε απευθείας ανάθεση για την κοπή και αποµάκρυνση εκριζωθέντος δένδρου δίπλα από το κτίριο της πρώην Τ.Ε.∆.Κ. Σερρών.</t>
  </si>
  <si>
    <t>ΒΕΤ6Ω10-Θ35</t>
  </si>
  <si>
    <t>Έγκριση χορήγησης δικαιώµατος χρήσης υφιστάµενων Σωληνώσεων για διέλευση καλωδίων οπτικών ινών από την εταιρεία«ΣΕΡΡΕΣΝΕΤ ΤΗΛΕΠΙΚΟΙΝΩΝΙΕΣ ΜΟΝΟΠΡΟΣΩΠΗ Ι.Κ.Ε» και διαπραγµάτευση όρων σύµβασης</t>
  </si>
  <si>
    <t>Τμήμα Μηχανογράφησης, Πληροφορικής και Επικοινωνιών του ∆ήµου</t>
  </si>
  <si>
    <t>ΒΛ0ΧΩ10-ΗΜΤ</t>
  </si>
  <si>
    <t>Έγκριση κάλυψης δαπάνης για την τροποποίηση του συστήµατος πληρωµής προνοιακών επιδοµάτων(ΟΠΣΝΑ)</t>
  </si>
  <si>
    <t>ΒΛ0ΧΩ10-Ε75</t>
  </si>
  <si>
    <t>Έγκριση δαπάνης διαφόρων προµηθειών και διάθεσης πιστώσεων, εκ του τµήµατος ΠΡΟΜΗΘΕΙΩΝ.</t>
  </si>
  <si>
    <t>ΒΛΓΕΩ10-ΞΥΔ</t>
  </si>
  <si>
    <t>Άρση απαλλοτρίωσης ιδιοκτησίας κ. Ζαλήµογλου στο Κεντρικό Πάρκο, σύµφωνα µε την υπ. αριθ. 165/2013 απόφαση του Τριµελούς ∆ιοικητικού Πρωτοδικείου Σερρών.</t>
  </si>
  <si>
    <t>ΒΛΓΕΩ10-Ψ5Φ</t>
  </si>
  <si>
    <t>Άρση απαλλοτρίωσης ιδιοκτησίας κ. Γλερίδη στο Κεντρικό Πάρκο, σύµφωνα µε την υπ. αριθ. 166/2013 απόφαση του Τριµελούς ∆ιοικητικού Πρωτοδικείου Σερρών.</t>
  </si>
  <si>
    <t>ΒΛ12Ω10-3ΟΜ</t>
  </si>
  <si>
    <t>Έγκριση δαπάνης προσφοράς δεµάτων αγάπης σε άπορους δηµότες του ∆ήµου Σερρών για τις εορτές των Χριστουγέννων 2013.</t>
  </si>
  <si>
    <t>Tµήµα Κοινωνικής Πολιτικής και Προγραµµάτων του ∆ήµου</t>
  </si>
  <si>
    <t>ΒΛ08Ω10-ΘΜΟ</t>
  </si>
  <si>
    <t>Έκθεση εσόδων-εξόδων Β΄ Τριµήνου 2013 για τον έλεγχο υλοποίησης του προϋπολογισµού έτους 2013.</t>
  </si>
  <si>
    <t>ΒΛ08Ω10-ΩΚΡ</t>
  </si>
  <si>
    <t>Έκθεση εσόδων-εξόδων Γ΄ Τριµήνου 2013 για τον έλεγχο υλοποίησης του προϋπολογισµού έτους 2013.</t>
  </si>
  <si>
    <t>ΒΛ12Ω10-8ΟΘ</t>
  </si>
  <si>
    <t>Έγκριση δαπανών και διάθεση πίστωσης της µελέτης «Τοπογράφηση – Κτηµατογράφηση- Πολεοδοµική µελέτη του οικισµού Ελαιώνα Σερρών.</t>
  </si>
  <si>
    <t>ΒΛ0ΧΩ10-Θ40</t>
  </si>
  <si>
    <t>Έγκριση ∆ιάθεσης-ψήφισης πιστώσεων για την υλοποίηση της πράξης «Παρεµβάσεις Εξοικονόµησης Ενέργειας στο υφιστάµενο κτιριακό δυναµικό του ∆ήµου Σερρών</t>
  </si>
  <si>
    <t>Τµήµα Η/Μ και Ενεργειακών Εφαρµογών του ∆ήµου</t>
  </si>
  <si>
    <t>ΒΛΓΨΩ10-Κ0Ρ</t>
  </si>
  <si>
    <t>Αποδοχή της υπ. αριθ. 88/2013 απόφασης του Ειρηνοδικείου Σερρών περί παραχώρησης διόδου στην ιδιοκτησία του κ. Ραφαήλ Νικολαίδη.</t>
  </si>
  <si>
    <t>ΒΛ0ΝΩ10-ΜΒ1</t>
  </si>
  <si>
    <t>Ανάθεση στη δικηγόρο του ∆ήµου να παραστεί ενώπιον του Τριµελούς ∆/κού Πρωτοδικείου Σερρών, κατά τη συζήτηση προσφυγών των κ.κ. ΦΕΚΑ, ΠΑΠΟΥΤΣΗ, της«ΠΑΣΧΟΣ-ΑΚΟΝΗΣ ΟΕ» και της «ΠΑΠΟΥΤΣΗΣ Ε.Ε.», προς προάσπιση των συµφερόντων του ∆ήµου.</t>
  </si>
  <si>
    <t>Τµήµα Αδειοδότησης &amp; Ρύθµισης Εµπορικών ∆ραστηριοτήτων</t>
  </si>
  <si>
    <t>ΒΛ0ΝΩ10-ΑΥ7</t>
  </si>
  <si>
    <t>Ανάθεση στη δικηγόρο του ∆ήµου να παραστεί ενώπιον του Τριµελούς ∆/κού Πρωτοδικείου Σερρών, κατά τη συζήτηση προσφυγών των κ.κ. ΚΑΤΣΟΥΡΟΥ Β., ΣΕΡΓΕΤΣΗ Π., της «ΧΑΣΙΩΤΗΣ ΣΩΚΡΑΤΗΣ &amp; ΣΙΑ Ε.Ε.», της «ΚΟΥΜΛΕΛΗΣ -ΣΤΑΜΑΤΟΠΟΥΛΟΣ Ο.Ε.», προς προάσπιση των συµφερόντων του ∆ήµου.</t>
  </si>
  <si>
    <t>ΒΛ0ΝΩ10-Ν2Ω</t>
  </si>
  <si>
    <t>Ανάθεση στη δικηγόρο του ∆ήµου να παραστεί ενώπιον του Τριµελούς ∆/κού Πρωτοδικείου Σερρών, κατά τη συζήτηση προσφυγών της: «ΜΠΕΝΤΕΣ Ι.- ΚΗΠΟΥΡΟΣ ∆. Ο.Ε.», της «ΜΟΥΡΑΤΙ∆ΗΣ ∆.-ΜΑΡΚΑ∆ΑΣ Α. Ο.Ε.», της «ΚΑΡΑΜΠΕΤΣΙΟΣ Α. &amp; ΣΙΑ Ο.Ε.» και της « ΜΥΛΩΝΑΣ Λ.-ΝΤΑΟΥ∆ΗΣ- ΤΟΠΑΛΗΣ Κ. Ο.Ε.», προς προάσπιση των συµφερόντων του ∆ήµου.</t>
  </si>
  <si>
    <t>ΒΛ0ΝΩ10-ΡΩ7</t>
  </si>
  <si>
    <t>Ανάθεση στη δικηγόρο του ∆ήµου να παραστεί ενώπιον του Τριµελούς ∆/κού Πρωτοδικείου Σερρών, κατά τη συζήτηση προσφυγών της: «ΑΝΘΟΥΛΑΚΗΣ Χ.-ΑΘΑΝΑΣΙΑ∆ΗΣ Ε. Ο.Ε.», της ΜΑΡΙΝΙ∆ΟΥ ΒΑΡΒΑΡΑΣ, της «ΓΑΡΟΥΦΑΣ Ι.-ΜΗΤΡΑΚΑΣ ΑΝ. &amp; ΣΙΑ Ο.Ε.», προς προάσπιση των συµφερόντων του ∆ήµου.</t>
  </si>
  <si>
    <t>ΒΛ12Ω10-Σ13</t>
  </si>
  <si>
    <t>Έγκριση δαπάνης και διάθεση πίστωσης δηµοσίευσης διακήρυξης</t>
  </si>
  <si>
    <t>ΒΛ1ΔΩ10-ΓΥΘ</t>
  </si>
  <si>
    <t>Έγκριση ανάθεσης της προµήθειας καυσίµων για τις ανάγκες των Νοµικών Προσώπων του ∆ήµου Σερρών µε την διαδικασία της διαπραγµάτευσης, ενδεικτικής προϋπολογισθείσας δαπάνης 245.216,73 € µε Φ.Π.Α.</t>
  </si>
  <si>
    <t>ΒΛ12Ω10-ΧΤΩ</t>
  </si>
  <si>
    <t>Έγκριση δαπάνης α) προµήθειας κυκλοφορητή για καυστήρα και β) παροχής υπηρεσίας και προµήθειας ανταλλακτικών και διάθεση σχετικής πίστωσης εκ του τµήµατος ΚΙΝΗΣΗΣ ΟΧΗΜΑΤΩΝ.</t>
  </si>
  <si>
    <t>Τµήµα Κίνησης Οχηµάτων της ∆ιεύθυνσης Καθαριότητας του ∆ήµου</t>
  </si>
  <si>
    <t>ΒΛ13Ω10-ΓΚΛ</t>
  </si>
  <si>
    <t>Καθορισµός όρων διακήρυξης του έργου: « Συντήρηση του κοινοτικού καταστήµατος Άνω Καµήλας (ελαιοχρωµατισµός, διαµόρφωση του αύλειου χώρου και πλακόστρωσή του)», πρ/σµού 15.458,51 € και έγκριση δαπάνης και διάθεση σχετικής πίστωσης.</t>
  </si>
  <si>
    <t>ΒΛΓ7Ω10-7ΤΡ</t>
  </si>
  <si>
    <t>Έγκριση δαπάνης για την συντήρηση και επισκευή καυστήρων ∆ηµοτικών Κτιρίων και διάθεση σχετικής πίστωσης.</t>
  </si>
  <si>
    <t>ΒΛΓΒΩ10-ΡΜΕ</t>
  </si>
  <si>
    <t>Έγκριση Προϋπολογιστικού Πίνακα που αφορά την εργασία «Ολοκλήρωση της εγκατάστασης του υποσταθµού Μ/Τ του Αυτοκινητοδροµίου».</t>
  </si>
  <si>
    <t>ΒΕΥ8Ω10-ΑΛ0</t>
  </si>
  <si>
    <t>Ορισµός δικηγόρου νοµικής υπηρεσίας ∆ήµου για έλεγχο και ενέργειες για την υπόθεση της εταιρείας“COSMOS BUSINESS SYSTEMS ΑΕΒΕ”</t>
  </si>
  <si>
    <t>ΒΛ13Ω10-Ε8Ρ</t>
  </si>
  <si>
    <t>Έγκριση εκτέλεσης µε απ’ ευθείας ανάθεση του έργου: «Βελτίωση-Επέκταση αγροτικής γέφυρας Γιαβρούµ Τοπ. Κοιν. Προβατά» και διάθεση σχετικής πίστωσης.</t>
  </si>
  <si>
    <t>ΒΛ13Ω10-ΛΡΙ</t>
  </si>
  <si>
    <t>Έγκριση εκτέλεσης µε απ’ ευθείας ανάθεση του έργου: «Σποραδικά επιχρίσµατα και χρωµατισµοί παλαιού ∆ηµαρχείου Λευκώνα» και διάθεση σχετικής πίστωσης.</t>
  </si>
  <si>
    <t>ΒΛ13Ω10-508</t>
  </si>
  <si>
    <t>Έγκριση δαπάνης προµήθειας συρµατοπλέγµατος περίφραξης για το Κυνοκοµείο του ∆ήµου Σερρών και διάθεση σχετικής πίστωσης.</t>
  </si>
  <si>
    <t>Τµήµα Αγρ/κής &amp; Κτην/κής Παραγωγής &amp; Αλιείας του ∆ήµου</t>
  </si>
  <si>
    <t>ΒΛΓΒΩ10-59Κ</t>
  </si>
  <si>
    <t>Έγκριση προϋπολογιστικού Πίνακα και Τεχνική Περιγραφή των εργασιών «Καθαρισµός αρδευτικού καναλιού στο Αγρόκτηµα Μητρουσίου» και διάθεση πίστωσης.</t>
  </si>
  <si>
    <t>ΒΛ08Ω10-Σ25</t>
  </si>
  <si>
    <t>Έγκριση όρων διακήρυξης του διαγωνισµού του Υποέργου 11 «Ενηµέρωση και ∆ιαφήµιση στο Πλαίσιο ∆ιοργάνωσης της Πανεπιστηµιάδας Θεάτρου στο ∆ήµο Σερρών έτους 2014» της πράξης «∆ιοργάνωση της Πανεπιστηµιάδας Θεάτρου στο ∆ήµο Σερρών» (ΟΠΣ 303618).</t>
  </si>
  <si>
    <t>ΒΛΓΒΩ10-72Υ</t>
  </si>
  <si>
    <t>Συγκρότηση τριµελούς επιτροπής αξιολόγησης τεχνικών και οικονοµικών προσφορών και κάθε θέµατος που θα προκύψει κατά την εκτέλεση των συµβάσεων κατά το άρθρο 72 παρ 1ε, του N. 3852/2010 των διαγωνισµών «Παροχής υπηρεσιών έκδοσης εισιτηρίων, φιλοξενίας, µετακίνησης, ξενάγησης και διατροφής», «Παροχής Υπηρεσιών Υποστήριξης» και «Ενηµέρωσης και ∆ιαφήµισης» στα Πλαίσια ∆ιοργάνωσης της Πανεπιστηµιάδας Θεάτρου στο ∆ήµο Σερρών έτους 2014 » και παραλαβής των υπηρεσιών κατά το άρθρο28 του ΕΚΠΟΤΑ και κατά τις διατάξεις της αριθµ. ∆ΙΣΚΠΟ/Φ.18/οικ.21508/04.11.2011 Απόφασης του Υπουργού ∆ιοικητικής Μεταρρύθµισης και Ηλεκτρονικής ∆ιακυβέρνησης (ΦΕΚ2540/07.11.2011 τεύχος Β’) «Ανάδειξη µελών για συγκρότηση επιτροπών µε κλήρωση».</t>
  </si>
  <si>
    <t>ΒΛ08Ω10-ΚΚΓ</t>
  </si>
  <si>
    <t>Έγκριση όρων διακήρυξης του διαγωνισµού του Υποέργου6 «∆ΡΑΣΕΙΣ ∆ΗΜΟΣΙΟΤΗΤΑΣ – ΕΥΑΙΣΘΗΤΟΠΟΙΗΣΗΣ» ΤΗΣ ΠΡΑΞΗΣ «Πρότυπο επιδεικτικό έργο εφαρµογών Ανανεώσιµων Πηγών Ενέργειας και Εξοικονόµησης Ενέργειας στο20ο ∆ηµοτικό Σχολείο Σερρών» (ΟΠΣ 356878).</t>
  </si>
  <si>
    <t>ΒΛ1ΔΩ10-0Δ7</t>
  </si>
  <si>
    <t>Καθορισµός όρων διακήρυξης ανοικτού διαγωνισµού της παροχής υπηρεσιών µε τίτλο: « Συντήρηση αγροτικών δρόµων της ∆ηµοτικής Ενότητας Σκουτάρεως έτους 2014», προϋπολογισµού 68.000,00 €.</t>
  </si>
  <si>
    <t>ΒΕΙ6Ω10-Δ98</t>
  </si>
  <si>
    <t>Έγκριση πρακτικών δηµοπρασίας του έργου: « Τσιµεντοστρώσεις δρόµων Τοπικής Κοινότητας Ορεινής».</t>
  </si>
  <si>
    <t>ΒΛ13Ω10-Κ4Η</t>
  </si>
  <si>
    <t>Καθορισµός όρων διακήρυξης ανοικτού διαγωνισµού της παροχής υπηρεσιών µε τίτλο: « Συντήρηση αγροτικών δρόµων της ∆ηµοτικής Ενότητας Λευκώνα, της Τοπικής Κοινότητας Ορεινής, Άνω Βροντούς και Ελαιώνα έτους 2014», προϋπολογισµού 93.000,00 €.</t>
  </si>
  <si>
    <t>ΒΛ13Ω10-ΞΥΔ</t>
  </si>
  <si>
    <t>Καθορισµός όρων διακήρυξης ανοικτού διαγωνισµού της παροχής υπηρεσιών µε τίτλο: « Συντήρηση αγροτικών δρόµων της ∆ηµοτικής Ενότητας Μητρουσίου 2014», προϋπολογισµού 58.000,00 €.</t>
  </si>
  <si>
    <t>ΒΕΤ9Ω10-4Ο3</t>
  </si>
  <si>
    <t>Εκπροσώπηση του ∆ήµου στο Μονοµελές Εφετείο Θεσσαλονίκης</t>
  </si>
  <si>
    <t>ΒΛ12Ω10-ΕΒΡ</t>
  </si>
  <si>
    <t>Έγκριση δαπάνης παροχής υπηρεσίας και προµήθειας ανταλλακτικών, διάθεση σχετικής πίστωσης για την επισκευή του ΠΡΟΩΘΗΤΗΡΑ ΓΑΙΩΝ.</t>
  </si>
  <si>
    <t>Τµήµα Κίνησης Οχηµάτων του ∆ήµου</t>
  </si>
  <si>
    <t>ΒΛ13Ω10-ΙΔ3</t>
  </si>
  <si>
    <t>Έγκριση δαπάνης προµήθειας ανταλλακτικών για την επισκευή των φορτηγών αυτ-των και µηχανηµάτων έργου της ∆ΤΥ και διάθεση σχετικής πίστωσης.</t>
  </si>
  <si>
    <t>ΒΛ1ΔΩ10-0Η8</t>
  </si>
  <si>
    <t>Ορισµός δικηγόρου για την άσκηση ανακοπής κατά της υπ. αριθ. 505/2013 απόφασης του Πρωτοδικείου Σερρών που αφορά διαταγή πληρωµής προς τον κ. Χρήστο Κυνηγό σε βάρος του ∆ήµου Σερρών.</t>
  </si>
  <si>
    <t>Νοµική Υπηρεσία</t>
  </si>
  <si>
    <t>ΒΛ0ΧΩ10-ΣΘΘ</t>
  </si>
  <si>
    <t>Έγκριση και διάθεση πίστωσης ποσού 3.653,29 € για την καταβολή υπερωριών υπαλλήλων που ορίσθηκαν για την αντιµετώπιση εκτάκτων αναγκών (ΠΣΕΑ) για το διάστηµα από Μάρτιο έως ∆εκέµβριο 2012.</t>
  </si>
  <si>
    <t>ΒΛ0ΧΩ10-ΑΤΙ</t>
  </si>
  <si>
    <t>Έγκριση και διάθεση πίστωσης ποσού349,97 € στον Αργυρίου Νικόλαο-Βύρων, που αφορά τόκους υπερηµερίας και δικαστικά έξοδα σύµφωνα µε την αριθ. 36/2013 Απόφαση του Ειρηνοδικείου Σερρών.</t>
  </si>
  <si>
    <t>ΒΛ1ΔΩ10-5ΔΧ</t>
  </si>
  <si>
    <t>Έγκριση και διάθεση πίστωσης ποσού 3.248,89 € στην Ευαγγελία Μπάκα- Ιατροπούλου, που αφορά επιδικασθέν κεφάλαιο, τόκους υπερηµερίας και δικαστικά έξοδα σύµφωνα µε την αριθ. 35/2012 απόφαση του Ειρηνοδικείου Σερρών.</t>
  </si>
  <si>
    <t>ΒΛ1ΤΩ10-Θ92</t>
  </si>
  <si>
    <t>Έγκριση όρων διακήρυξης του έργου «∆ιαµόρφωση κοινοχρήστων χώρων στον οικισµό Χιονοχωρίου».</t>
  </si>
  <si>
    <t>ΒΛ13Ω10-77Γ</t>
  </si>
  <si>
    <t>Ακύρωση της αριθµ. 501/2013 ΑΟΕ του ∆ήµου Σερρών ως προς τα σκέλη ∆ και Ε αυτής.</t>
  </si>
  <si>
    <t>ΒΛΓΒΩ10-Τ3Ψ</t>
  </si>
  <si>
    <t>Έγκριση δαπανών και διάθεση πίστωσης για την προµήθεια υλικών του Τµήµατος Κυκλοφοριακού Σχεδιασµού</t>
  </si>
  <si>
    <t>ΒΛΓΠΩ10-ΧΤ3</t>
  </si>
  <si>
    <t>Έγκριση δαπανών και διάθεση πίστωσης για τον εορτασµό των Χριστουγέννων 2013, της Πρωτοχρονιάς 2014 και των Θεοφανείων 2014.</t>
  </si>
  <si>
    <t>ΒΕΤΟΩ10-ΣΚ8</t>
  </si>
  <si>
    <t>Εξώδικος συµβιβασµός µετά την έκδοση απόφασης (υπόθεση αποζηµίωσης του ΧΡΙΣΤΟΠΟΥΛΟΥ ΓΕΩΡΓΙΟΥ)</t>
  </si>
  <si>
    <t>ΒΛΓ7Ω10-Θ5Φ</t>
  </si>
  <si>
    <t>Ορισµός ορκωτού ελεγκτή λογιστή για έλεγχο των Οικονοµικών καταστάσεων του ∆ήµου Σερρών έτους 2013.</t>
  </si>
  <si>
    <t>Αντιδήμαρχος ∆/κων και Οικ/κων Λειτουργιών του ∆ήµου</t>
  </si>
  <si>
    <t>ΒΛΓΠΩ10-ΠΣ2</t>
  </si>
  <si>
    <t>Έγκριση και ανάθεση του Προϋπολογιστικού Πίνακα και της Τεχνικής Περιγραφής των εργασιών «∆ιάφορες οικοδοµικές εργασίες περαίωσης στο καταφύγιο αδέσποτων ζώων συντροφιάς» και διάθεση της σχετικής πίστωσης.</t>
  </si>
  <si>
    <t>ΒΛΓΠΩ10-ΩΚΓ</t>
  </si>
  <si>
    <t>Έγκριση διάθεσης πίστωσης για την παροχή υπηρεσιών «Αποκοµιδή απορριµµάτων ∆.Ε. Σερρών»</t>
  </si>
  <si>
    <t>ΒΛΓΒΩ10-Ψ5Γ</t>
  </si>
  <si>
    <t>Έγκριση δαπάνης προµήθειας φαρµακευτικού υλικού και διάθεση σχετικής πίστωσης εκ της ∆/νσης Κοινωνικής Προστασίας.</t>
  </si>
  <si>
    <t>∆ιεύθυνση Κοινωνικής Προστασίας Υγείας Παιδείας και Πολιτισµού</t>
  </si>
  <si>
    <t>ΒΛΓΠΩ10-7ΛΟ</t>
  </si>
  <si>
    <t>Εκτέλεση έργου µε απευθείας ανάθεση«∆ιαµόρφωση χώρου στάθµευσης στην Τ.Κ. Κάτω Καµήλας.»</t>
  </si>
  <si>
    <t>ΒΛΓΠΩ10-Ζ9Ω</t>
  </si>
  <si>
    <t>Έγκριση δαπάνης και διάθεσης σχετικής πίστωσης για α) Προµήθεια υλικών-ειδών θέρµανσης για το τµήµα Κοιµητηριών, β) Προµήθεια διαφόρων ειδών για το Τµήµα Κίνησης Οχηµάτων</t>
  </si>
  <si>
    <t>ΒΛΓ7Ω10-ΑΧΛ</t>
  </si>
  <si>
    <t>Έγκριση και διάθεση πίστωσης και απευθείας ανάθεση για την α) επικαιροποίηση του µητρώου παγίων σύµφωνα µε την νέα απογραφή που έχει προκύψει από την συγχώνευση του Καλλικράτη β) την διασύνδεση των διαχειριστικών αποθηκών µε τα λογιστικά υποσυστήµατα και γ) διαχείριση των δεδοµένων στην µηχανογραφική εφαρµογή της οικονοµικής υπηρεσίας του ∆ήµου.</t>
  </si>
  <si>
    <t>ΒΕΦΖΩ10-2ΔΦ</t>
  </si>
  <si>
    <t>Έγκριση κίνησης εκτός έδρας των υπαλλήλων µας κ.κ. Καραγκιόζη Χρήστου και Μαρινάκη Αικατερίνης, κατά το µήνα Οκτώβριο 2012.</t>
  </si>
  <si>
    <t>ΒΛΓ6Ω10-Β4Σ</t>
  </si>
  <si>
    <t>Έγκριση δαπάνης συµµετοχής στο 6ο Συνέδριο για την έρευνα στις Μεταφορές στην Ελλάδα για τις ανάγκες διάχυσης του έργου ENCLOSE.</t>
  </si>
  <si>
    <t>ΒΛΓ7Ω10-Ξ55</t>
  </si>
  <si>
    <t>Έγκριση Ολοκληρωµένου Πλαισίου ∆ράσης ∆ήµου Σερρών, συµπεριλαµβανοµένων των Νοµικών Προσώπων µεταβατικής περιόδου 2013.</t>
  </si>
  <si>
    <t>ΒΕΦ8Ω10-ΠΧΩ</t>
  </si>
  <si>
    <t>Έγκριση δαπάνης προµήθειας µιας σόµπας αλογόνου τεσσάρων λαµπών και διάθεση σχετικής πίστωσης.</t>
  </si>
  <si>
    <t>∆/νση Τεχνικών Υπηρεσιών του ∆ήµου</t>
  </si>
  <si>
    <t>ΒΛΓ7Ω10-Μ4Α</t>
  </si>
  <si>
    <t>Προέλεγχος ισολογισµού και αποτελεσµάτων χρήσης έτους 2012.</t>
  </si>
  <si>
    <t>ΒΕΙΩΩ10-ΠΝΚ</t>
  </si>
  <si>
    <t>Έγκριση δαπάνης: α) ποσού39,36 € για τη δηµοσίευση της περίληψης της απόφασης 720/2012 µε θέµα: «Ψήφιση κανονιστικής δαπάνης δικτύου οπτικών ινών ∆ήµου Σερρών», β) ποσού39,36 € για τη δηµοσίευση της περίληψης της απόφασης 710/2012 µε θέµα: «Καθορισµός τελών κατάληψης κοινόχρηστου χώρου εδάφους και υπεδάφους» και γ) ποσού 39,36 € για τη δηµοσίευση της περίληψης της απόφασης 711/2012 µε θέµα: «Έγκριση αναπροσαρµογής συντελεστών τελών διαφήµισης» σε τοπική εφηµερίδα και ψήφιση σχετικής πίστωσης.</t>
  </si>
  <si>
    <t>ΒΛΓΩΩ10-49Δ</t>
  </si>
  <si>
    <t>Έγκριση δαπάνης, τεχνικών προδιαγραφών µελέτης και καθορισµός τρόπου ανάθεσης της παροχής υπηρεσιών«Προώθηση τηλεοπτικού και ραδιοφωνικού µηνύµατος για την προβολή του έργου EASYTRIP: GR-BG E-MOBILITY SOLUTIONS στα πλαίσια του προγράµµατος Ευρωπαϊκής Εδαφικής Συνεργασίας Ελλάδα-Βουλγαρία»</t>
  </si>
  <si>
    <t>Tµήµα Κυκλοφοριακού Σχεδιασµού του ∆ήµου</t>
  </si>
  <si>
    <t>ΒΛΓΒΩ10-Ι7Β</t>
  </si>
  <si>
    <t>Έλεγχος δικαιολογητικών ανάδειξης αναδόχου εκπόνησης της µελέτης: « Μελέτη επεµβάσεων εξοικονόµησης ενέργειας σε δηµοτικά κτίρια».</t>
  </si>
  <si>
    <t>ΒΛΓΒΩ10-ΔΥ8</t>
  </si>
  <si>
    <t>Έλεγχος δικαιολογητικών ανάδειξης αναδόχου του έργου: «Πρότυπο Επιδεικτικό έργο εφαρµογών Ανανεώσιµων Πηγών Ενέργειας και Εξοικονόµησης Ενέργειας στο 20ο ∆ηµοτικό Σχολείο Σερρών» (Υποέργο 4).</t>
  </si>
  <si>
    <t>ΒΛΓΠΩ10-Α0Ν</t>
  </si>
  <si>
    <t>Έγκριση δαπάνης προµήθειας ανταλλακτικών συντήρησης αυτοκινήτων για διάθεση σχετικής πίστωσης</t>
  </si>
  <si>
    <t>ΒΛΓ7Ω10-Π0Θ</t>
  </si>
  <si>
    <t>Έγκριση δαπάνης, έγκριση µελέτης (eτεχνικές προδιαγραφές) της προµήθειας φωτιστικών σωµάτων και βραχιόνων για την κάλυψη αναγκών του ∆ήµου, καθορισµός τρόπου εκτέλεσης και ψήφιση σχετικής πίστωσης.</t>
  </si>
  <si>
    <t>Τµήµα Η/Μ Έργων, Ενεργειακών Εφαρµογών και Υπηρεσιών του ∆ήµου</t>
  </si>
  <si>
    <t>ΒΕΙΩΩ10-ΓΡΡ</t>
  </si>
  <si>
    <t>Έγκριση δαπάνης προµήθειας ενός δραπανοκατσάβιδου και δύο µπαταριών και ψήφιση σχετικής πίστωσης.</t>
  </si>
  <si>
    <t>Τµήµα Οικοδοµικών Έργων, Οδοποϊίας, Υδραυλικών, Έργων και Υπηρεσιών του ∆ήµου</t>
  </si>
  <si>
    <t>ΒΛΓΒΩ10-6ΥΣ</t>
  </si>
  <si>
    <t>Έγκριση κατάργησης Παγίου Τέλους Τσιµενταυλάκων των τοπικών Κοινοτήτων Χριστός και Καλών ∆ένδρων.</t>
  </si>
  <si>
    <t>ΒΕΙΠΩ10-ΥΣΥ</t>
  </si>
  <si>
    <t>Έγκριση καταβολής τρίµηνων αποδοχών στους κ.κ. Mπίµπαση Γιαννακό του Νικολάου, Κοντό Προκόπη του Γεωργίου, Γεωργούλα Βαλεντίνη του Παναγιώτη, Μαρτήν Φοίβο του Λάµπρου, Μερµηγκούδη Μιχαήλ του Γεωργίου, Κουτσό Κων/νο του Νικολάου, Νεράντζη Σουλτάνα του Ευστρατίου, πρώην ∆ηµοτικούς Υπαλλήλους, λόγω συνταξιοδότησής τους.</t>
  </si>
  <si>
    <t>ΒΛΓΒΩ10-0ΓΨ</t>
  </si>
  <si>
    <t>Έγκριση δαπάνης και διάθεση πίστωσης για την επισκευή του κτιρίου της Διεύθυνσης Αγροτικής Ανάπτυξης.</t>
  </si>
  <si>
    <t>ΒΕΥΦΩ10-Ζ58</t>
  </si>
  <si>
    <t>Έγκριση πρακτικών ∆ηµοπρασίας του έργου: « Οργάνωση, ∆ιαχείριση και Συντήρηση χώρων πρασίνου της ∆ηµοτικής Ενότητας Καπετάν Μητρούση του ∆ήµου Σερρών».</t>
  </si>
  <si>
    <t>ΒΛ0ΖΩ10-ΒΨΞ</t>
  </si>
  <si>
    <t>Έγκριση πληρωµής προνοιακών επιδοµάτων διµήνου ΣΕΠΤΕΜΒΡΙΟΥ- ΟΚΤΩΒΡΙΟΥ 2013.</t>
  </si>
  <si>
    <t>Τµήµα Κοινωνικής Πολιτικής ∆ήµου</t>
  </si>
  <si>
    <t>ΒΕΥ8Ω10-5ΨΦ</t>
  </si>
  <si>
    <t>Έγκριση και διάθεση – ψήφιση πιστώσεων δαπανών του ∆ήµου Σερρών οικονοµικού έτους2013.</t>
  </si>
  <si>
    <t>ΒΛΓΠΩ10-5Ω1</t>
  </si>
  <si>
    <t>Έγκριση διάθεσης της πίστωσης για την τροποποίηση του Συστήµατος πληρωµής προνοιακών επιδοµάτων (ΟΠΣΝΑ).</t>
  </si>
  <si>
    <t>ΒΛΓΒΩ10-ΖΒΥ</t>
  </si>
  <si>
    <t>Καθορισµός όρων διακήρυξης του Υποέργου10 «Παροχή υπηρεσιών έκδοσης εισιτηρίων, φιλοξενίας, µετακίνησης, ξενάγησης και διατροφής στο πλαίσιο διοργάνωσης της Πανεπιστηµιάδας Θεάτρου στο ∆ήµο Σερρών για το έτος 2014» της Πράξης « ∆ιοργάνωση της Πανεπιστηµιάδας Θεάτρου στο ∆ήµο Σερρών» (ΟΠΣ: 303618).</t>
  </si>
  <si>
    <t>ΒΛΓΠΩ10-6ΕΠ</t>
  </si>
  <si>
    <t>Έγκριση δαπανών-οφειλών παρελθόντων οικονοµικών ετών και ψήφιση της σχετικής πίστωσης στον προϋπολογισµό 2013.</t>
  </si>
  <si>
    <t>ΒΛΓΠΩ10-ΗΤΩ</t>
  </si>
  <si>
    <t>Έγκριση δαπάνης και διάθεσης σχετικής πίστωσης α) προµήθειας µιας αεροκουρτίνας β) προµήθειας θερµαντικού σώµατος και γ) δηµοσίευσης διακήρυξης.</t>
  </si>
  <si>
    <t>ΒΛΓΛΩ10-Φ56</t>
  </si>
  <si>
    <t>Έγκριση και διάθεση πίστωσης ποσού 676,50 € για δικαστικά έξοδα.</t>
  </si>
  <si>
    <t>ΒΛΓΛΩ10-ΝΑΟ</t>
  </si>
  <si>
    <t>Έγκριση και διάθεση διαφόρων πιστώσεων που αφορούν οφειλές του ∆ήµου Σερρών</t>
  </si>
  <si>
    <t>ΒΛΓΞΩ10-1Β4</t>
  </si>
  <si>
    <t>Έγκριση ανάθεσης Προϋπολογιστικού Πίνακα και της Τεχνικής περιγραφής των εργασιών «∆ιαµόρφωση πεζοδροµίων γηπέδου της Τ.Κ. Βαµβακούσας.»</t>
  </si>
  <si>
    <t>ΒΛΓΔΩ10-ΧΡΘ</t>
  </si>
  <si>
    <t>Αποδοχή τιµής µονάδος αποζηµίωσης για την πράξη εφαρµογής της Π.Μ. 40 Μάρτυρες–Σφαγεία. και στο Ο.Π. 470 της πόλης Σερρών.</t>
  </si>
  <si>
    <t>ΒΛΓΓΩ10-ΣΘΨ</t>
  </si>
  <si>
    <t>Συγκρότηση Επιτροπής διεξαγωγής διαγωνισµών και αξιολόγησης προσφορών παροχής υπηρεσιών έτους 2014.</t>
  </si>
  <si>
    <t>ΒΛΓΥΩ10-0ΧΛ</t>
  </si>
  <si>
    <t>Ορισµός δικηγόρου του ∆ήµου µας για την εκπροσώπησή του στην εκδίκαση της Αγωγής της«Ιωάννης Αναστασιάδης και Σια Ο.Ε.» κατά του ∆ήµου Σερρών.</t>
  </si>
  <si>
    <t>ΒΕΥ8Ω10-Τ4</t>
  </si>
  <si>
    <t>Έγκριση και διάθεση-ψήφιση πίστωσης δαπανών µισθοδοσίας και εξόδων κίνησης αιρετών, καθώς επίσης εκλογικό επίδοµα και έξοδα κίνησης υπαλλήλων και αποζηµίωση υπαλλήλων ΕΟΠ οικονοµικού έτους 2013.</t>
  </si>
  <si>
    <t>ΒΛΓΓΩ10-ΟΔΞ</t>
  </si>
  <si>
    <t>Έγκριση ανάθεση µελέτης µε τίτλο«Επικαιροποίηση Μελέτης Οριοθέτησης ρεµάτων οικισµού Αγίου Ιωάννη ∆ήµου Σερρών»</t>
  </si>
  <si>
    <t>ΒΛΓΥΩ10-ΦΩΝ</t>
  </si>
  <si>
    <t>Αποδοχή τιµής µονάδος προσκύρωσης της «Κύρωσης ∆ιορθωτικής Πράξης Εφαρµογής της Πολεοδοµικής µελέτης Ανω Καµενίκια-Ιµαρέτ του ∆ήµου Σερρών», στο Ο.Π. 582</t>
  </si>
  <si>
    <t>ΒΛΓΓΩ10-ΒΜ5</t>
  </si>
  <si>
    <t>Έγκριση πρακτικών δηµοπρασίας του έργου «∆ΙΑΦΟΡΕΣ ΕΠΙΣΚΕΥΕΣ– ΣΥΝΤΗΡΗΣΕΙΣ ΚΑΙ ΚΑΤΑΣΚΕΥΕΣ ΣΕ ΣΧΟΛΙΚΑ ΚΤΙΡΙΑ ΤΟΥ ∆ΗΜΟΥ ΣΕΡΡΩΝ»</t>
  </si>
  <si>
    <t>ΒΛΓΞΩ10-ΒΕΖ</t>
  </si>
  <si>
    <t>Έγκριση εκτέλεσης έργου µε απευθείας ανάθεση «∆ιάφορες επισκευές- κατασκευές στο Ειδικό Σχολείο, 4ο ∆ηµοτικό Σχολείο, Μουσικό Σχολείο και 3ο Νηπιαγωγείο Σερρών» και διάθεση πίστωσης.</t>
  </si>
  <si>
    <t>ΒΛΓ1Ω10-39Ζ</t>
  </si>
  <si>
    <t>Έγκριση διάθεσης πίστωσης για την Παροχή Υπηρεσιών του «Συµβούλου Τεχνικής Υποστήριξης του ∆ήµου Σερρών στο πλαίσιο του έργου ENCLOSE ( Μετάφραση υποστηρικτικού και ενηµερωτικού υλικού και άλλων παραδοτέων)»</t>
  </si>
  <si>
    <t>Τµήµα Κυκλοφοριακού Σχεδιασµού του Δήµου</t>
  </si>
  <si>
    <t>ΒΛΓ1Ω10-Β7Β</t>
  </si>
  <si>
    <t>Έγκριση διάθεσης πίστωσης για την Παροχή Υπηρεσιών του«Συµβούλου Τεχνικής Υποστήριξης του ∆ήµου Σερρών στο πλαίσιο του έργου ENCLOSE ( Ανάπτυξη και Μετάφραση Σχεδίου Βιώσιµων Αστικών Εµπορευµατικών Μεταφορών)»</t>
  </si>
  <si>
    <t>ΒΛΓ1Ω10-ΑΑΡ</t>
  </si>
  <si>
    <t>Έγκριση πληρωµής λογαριασµού ∆ΕΗ της Παιδικής Εξοχής Χρυσοπηγής αρµοδιότητας του ∆ήµου Σερρών.</t>
  </si>
  <si>
    <t>ΒΛΓ1Ω10-ΨΓ8</t>
  </si>
  <si>
    <t>Έγκριση προϋπολογιστικού Πίνακα και Τεχνικής Περιγραφής «Κατασκευή αντιπληµµυρικών έργων στην ∆.Ε. Λευκώνα», καθορισµός τρόπου εκτέλεσης και διάθεση πίστωσης.</t>
  </si>
  <si>
    <t>ΒΛΓΞΩ10-ΝΥΑ</t>
  </si>
  <si>
    <t>Έγκριση δαπάνης για την προµήθεια εβδοµήντα χιλιάδων (70.000) φακέλων αλληλογραφίας και ψήφιση πίστωσης.</t>
  </si>
  <si>
    <t>ΒΛΓΞΩ10-ΨΛ5</t>
  </si>
  <si>
    <t>ΕΓΚΡΙΣΗ ∆ΑΠΑΝΗΣ ΠΡΟΜΗΘΕΙΑΣ ΑΝΤΑΛΛΑΚΤΙΚΩΝ ΚΑΙ ∆ΙΑΘΕΣΗ ΣΧΕΤΙΚΗΣ ΠΙΣΤΩΣΗΣ, ΕΚ ΤΟΥ ΤΜΗΜΑΤΟΣ ΚΙΝΗΣΗΣ ΟΧΗΜΑΤΩΝ</t>
  </si>
  <si>
    <t>ΒΕΥΙΩ10-ΝΦΣ</t>
  </si>
  <si>
    <t>Έγκριση ανάθεσης εκτέλεσης εργασιών αποκατάστασης φθορών στον κόµβο των οδών Βενιζέλου, Μιαούλη και Κοµνηνώ</t>
  </si>
  <si>
    <t>ΒΕΥΜΩ10-ΨΟ3</t>
  </si>
  <si>
    <t>∆ιάθεση και ψήφιση πιστώσεων για το έτος 2013.</t>
  </si>
  <si>
    <t>ΒΛΓΔΩ10-8ΜΓ</t>
  </si>
  <si>
    <t>Αποδοχή τιµής µονάδος αποζηµίωσης για την πράξη εφαρµογής«Ανω Καµενίκια -Ιµαρέτ», στο Ο.Π. 547.</t>
  </si>
  <si>
    <t>ΒΛΓΞΩ10-ΤΥΥ</t>
  </si>
  <si>
    <t>Έγκριση δαπανών για τη διοργάνωση εκδηλώσεως για την υποδοχή των φοιτητών στην πόλη των Σερρών για το έτος 2013.</t>
  </si>
  <si>
    <t>ΒΛΓΥΩ10-Ο9Λ</t>
  </si>
  <si>
    <t>Ορισµός δικηγόρου του ∆ήµου µας για την εκπροσώπησή του στην εκδίκαση υπόθεσης ενώπιον του Μονοµελούς Πληµµελειοδικείου σε βάρος του ∆ηµάρχου Σερρών κ. Πέτρου Αγγελίδη.</t>
  </si>
  <si>
    <t>Τµήµα Νοµικής Υπηρεσίας</t>
  </si>
  <si>
    <t>ΒΛΓΦΩ10-8ΑΘ</t>
  </si>
  <si>
    <t>Ορισµός δικηγόρου του ∆ήµου µας για την εκδίκαση της Ανακοπής του κ. Καφετζή Πέτρου κατά του ∆ήµου Σερρών.</t>
  </si>
  <si>
    <t>ΒΛΓ1Ω10-ΣΜΧ</t>
  </si>
  <si>
    <t>Έγκριση δαπάνης α) ποσού172,20 € για τη δηµοσίευση της υπ’ αριθµ. 108/2013 απόφασης του ∆ηµοτικού Συµβουλίου µε θέµα: «Έγκριση κανονιστικής απόφασης κυκλοφοριακών αλλαγών στην πόλη των Σερρών µε βάση την υπ΄ αριθµ. 5/2013 απόφαση της Επιτροπής Ποιότητας Ζωής» β) ποσού 147,60 € για τη δηµοσίευση της υπ’ αριθµ. 107/2013 απόφασης του ∆ηµοτικού Συµβουλίου µε θέµα: «Έγκριση κανονιστικής απόφασης κυκλοφοριακών αλλαγών στην πόλη των Σερρών µε βάση την υπ΄ αριθµ. 4/2013 απόφαση της Επιτροπής Ποιότητας Ζωής»</t>
  </si>
  <si>
    <t>Τµήµα Κυκλοφοριακού Σχεδιασµού &amp; Συγκοινωνίας του ∆ήµου</t>
  </si>
  <si>
    <t>ΒΛΓ1Ω10-ΨΩΝ</t>
  </si>
  <si>
    <t>Έγκριση δαπάνης α) ποσού 442,80 € για τη δηµοσίευση της υπ’ αριθµ. 50/2013 απόφασης του ∆ηµοτικού Συµβουλίου µε θέµα: «Έγκριση κανονιστικής απόφασης κυκλοφοριακών αλλαγών στην πόλη των Σερρών µε βάση την υπ΄ αριθµ. 6/2013 απόφαση της Επιτροπής Ποιότητας Ζωής» β) ποσού 158,67 € για τη δηµοσίευση της υπ’ αριθµ. 106/2013 απόφασης του ∆ηµοτικού Συµβουλίου µε θέµα: «Έγκριση κανονιστικής απόφασης κυκλοφοριακών αλλαγών στην πόλη των Σερρών µε βάση την υπ΄ αριθµ. 3/2013 απόφαση της Επιτροπής Ποιότητας Ζωής»</t>
  </si>
  <si>
    <t>ΒΛΓΓΩ10-ΒΩΘ</t>
  </si>
  <si>
    <t>Ακύρωση της αριθ. 511/2013 Α.Ο.Ε. και επανέγκριση των πρακτικών ∆ηµοπρασίας του έργου«Βελτίωση ενεργειακής απόδοσης 5ου ∆ηµοτικού Σχολείου ∆ήµου Σερρών µε την υλοποίηση ∆ράσεων εξοικονόµησης Ενέργειας και την εγκατάσταση συστήµατος αβαθούς γεωθερµίας (Υποέργο 4)»</t>
  </si>
  <si>
    <t>ΒΛΓΞΩ10-784</t>
  </si>
  <si>
    <t>Έγκριση δαπάνης για δηµοσίευση διακηρύξεων εκ του τµήµατος ΠΡΟΜΗΘΕΙΩΝ.</t>
  </si>
  <si>
    <t>ΒΛΓΔΩ10-ΑΦΜ</t>
  </si>
  <si>
    <t>Ορισµός δικηγόρου του ∆ήµου Σερρών για την εκπροσώπησή του ενώπιον του ∆ιοικητικού Πρωτοδικείου Σερρών για υπόθεση προσωρινής αφαίρεσης άδειας λειτουργίας καταστηµάτων.</t>
  </si>
  <si>
    <t>Τµήµα αδειοδότησης &amp; ρύθµισης εµπορικών δραστηριοτήτων του ∆ήµου</t>
  </si>
  <si>
    <t>ΒΛΓΔΩ10-ΩΩΩ</t>
  </si>
  <si>
    <t>Τµήµα Αδειοδότησης &amp; ρύθµισης εµπορικών ∆ραστηριοτήτων του ∆ήµου</t>
  </si>
  <si>
    <t>ΒΕΥ8Ω10-Λ1Ρ</t>
  </si>
  <si>
    <t>Έγκριση και διάθεση– ψήφιση πίστωσης για τις οφειλές έτους 2012 του ∆ήµου Σερρών που αφορούν υπερωριακή απασχόληση υπαλλήλων και έξοδα µετακίνησης υπαλλήλων και αιρετών.</t>
  </si>
  <si>
    <t>ΒΛΓΔΩ10-ΞΜΟ</t>
  </si>
  <si>
    <t>Ορισµός δικηγόρου του ∆ήµου Σερρών για την εκπροσώπησή του ενώπιον του ∆ιοικητικού Πρωτοδικείου Σερρών για υπόθεση προσωρινής αφαίρεσης άδειας λειτουργίας καταστηµάτων</t>
  </si>
  <si>
    <t>Τµήµα αδειοδοτήσεων και ρύθµισης εµπορικών ∆ραστηριοτήτων του ∆ήµου</t>
  </si>
  <si>
    <t>ΒΛΓΚΩ10-5ΑΨ</t>
  </si>
  <si>
    <t>Έγκριση δαπάνης παροχής υπηρεσιών για συντήρηση και επισκευή οχηµάτων – µηχανηµάτων ∆ήµου Σερρών και διάθεση σχετικής πίστωσης.</t>
  </si>
  <si>
    <t>ΒΛΓ1Ω10-Θ0Μ</t>
  </si>
  <si>
    <t>Έγκριση διάθεσης πίστωσης για την«Μίσθωση µηχανηµάτων έργων Οδοποιίας- χωµατουργικών»</t>
  </si>
  <si>
    <t>ΒΛΓΥΩ10-ΣΦ9</t>
  </si>
  <si>
    <t>Αποδοχή τιµής µονάδος αποζηµίωσης για την πράξη εφαρµογής της Π.Μ. « Εργατικές κατοικίες» στο Ο.Π. 394 της πόλης Σερρών, ( Ευφροσύνη Νέδογλου).</t>
  </si>
  <si>
    <t>ΒΛΓΥΩ10-ΘΟΟ</t>
  </si>
  <si>
    <t>Εντολή στον δικηγόρο του ∆ήµου µας για την αποµάκρυνση των δηµοτών από τα ακίνητα του κληροδοτήµατος Ι. Αποστολίδη.</t>
  </si>
  <si>
    <t>ΒΛΓΓΩ10-3Ο6</t>
  </si>
  <si>
    <t>Έγκριση ανάθεση µελέτης µε τίτλο«Επικαιροποίηση µελέτης Οριοθέτησης ρέµατος οικισµού Ελαιώνα της Τ.Κ. Ελαιώνα του ∆ήµου Σερρών».</t>
  </si>
  <si>
    <t>ΒΛΓ1Ω10-ΙΟ8</t>
  </si>
  <si>
    <t>Έγκριση διάθεσης του προϋπολογιστικού πίνακα έργου «Κατασκευή χώρου αρχείου της Πολεοδοµίας στο Αµαξοστάσιο του ∆ήµου Σερρών»</t>
  </si>
  <si>
    <t>Γραφείο Προµηθειών Τεχνικών έργων του ∆ήµου</t>
  </si>
  <si>
    <t>ΒΛΓΞΩ10-Γ40</t>
  </si>
  <si>
    <t>Έγκριση δαπάνης για την πληρωµή τελών αδείας Κυκλοφορίας του νέου απορριµµατοφόρου του ∆ήµου Σερρών.</t>
  </si>
  <si>
    <t>ΒΛΓΞΩ10-Χ6Ξ</t>
  </si>
  <si>
    <t>Ανάθεση του προϋπολογιστικού Πίνακα και της Τεχνικής Περιγραφής των εργασιών«Καθαρισµός Αρδευτικού καναλιού στο αγρόκτηµα Μητρουσίου»</t>
  </si>
  <si>
    <t>ΒΕΥΜΩ10-ΖΝΕ</t>
  </si>
  <si>
    <t>Ορισµός Τριµελούς Επιτροπής παραλαβής φυσικού εδάφους για το έργο: « Κατασκευή Τοίχου Αντιστήριξης στην οδό Μιαούλη του ∆ήµου Σερρών».</t>
  </si>
  <si>
    <t>ΒΕΤ6Ω10-Ζ70</t>
  </si>
  <si>
    <t>Έγκριση όρων διακήρυξης για την παροχή υπηρεσιών µε τίτλο: «Παροχή υπηρεσιών τεχνικής υποστήριξης της υλοποίησης του ΣΧΥκαι Έκδοση ενεργειακών πιστοποιητικών(ΚΕΝΑΚ) » (ΓΙΑ ΤΗΝ ΠΡΑΞΗ ΚΩ∆.ΟΠΣ373670 ΕΞΟΙΚΟΝΟΜΗΣΗ ΕΝΕΡΓΕΙΑΣ ΣΕΡΡΩΝ)</t>
  </si>
  <si>
    <t>ΒΕΥΜΩ10-ΖΣ1</t>
  </si>
  <si>
    <t>Έγκριση πρακτικών ∆ηµοπρασίας του έργου: « Αναπλάσεις Κοινοχρήστων Χώρων στον οικισµό Χιονοχωρίου ∆ήµου Σερρών»</t>
  </si>
  <si>
    <t>ΒΕΥΜΩ10-ΥΞΗ</t>
  </si>
  <si>
    <t>Ανάθεση της προµήθειας εµβολίων και διάθεση σχετικής πίστωσης</t>
  </si>
  <si>
    <t>ΒΕΥ8Ω10-7ΒΟ</t>
  </si>
  <si>
    <t>Έγκριση αποδέσµευσης αποφάσεων ανάληψης υποχρέωσης ∆ήµου Σερρών που εκδόθηκαν από 1/1/2013 έως 31/1/2013.</t>
  </si>
  <si>
    <t>ΒΕΥΖΩ10-ΤΩΓ</t>
  </si>
  <si>
    <t>ΒΕΙΕΩ10-4ΔΕ</t>
  </si>
  <si>
    <t>Έγκριση πρακτικών πλειοδοτικής δηµοπρασίας για την εκµίσθωση ακινήτου από τον ∆ήµο Σερρών ∆ηµοτικής έκτασης 375.563,90 τ.µ. για την εγκατάσταση ανανεώσιµων πηγών ενέργειας</t>
  </si>
  <si>
    <t>ΒΕΥΖΩ10-44Α</t>
  </si>
  <si>
    <t>Συγκρότηση επιτροπών του άρθρου 28 του ΕΚΠΟΤΑ της ∆ιεύθυνσης Τεχνικών Υπηρεσιών</t>
  </si>
  <si>
    <t>ΒΕΔΞΩ10-8ΟΘ</t>
  </si>
  <si>
    <t>Ανάκληση της αρθ. 637/2012 Α.Ο.Ε. και ανάδειξη νέου µειοδότη της παροχής υπηρεσιών µε τίτλο«Οργάνωση, ∆ιαχείριση και Συντήρηση χώρων της ∆ηµοτικής Ενότητας Σερρών του ∆ήµου Σερρών», Εξέταση Εξώδικης ∆ήλωσης.</t>
  </si>
  <si>
    <t>Τμήμα πρασίνου του ∆ήµου</t>
  </si>
  <si>
    <t>ΒΕΤΟΩ10-88Κ</t>
  </si>
  <si>
    <t>Έγκριση όρων διακήρυξης του έργου«Εργασίες οδοστρωσίας έτους 2013»</t>
  </si>
  <si>
    <t>ΒΕΤΟΩ10-ΧΚΑ</t>
  </si>
  <si>
    <t>Έγκριση και διάθεση πίστωσης για την προµήθεια πλαστικών τροχήλατων κάδων ανακύκλωσης οικονοµικού έτους 2013</t>
  </si>
  <si>
    <t>ΒΕΤ9Ω10-ΞΚ0</t>
  </si>
  <si>
    <t>Έγκριση και διάθεση πίστωσης για οφειλές οικονοµικού έτους 2012 που αφορούν προµήθειες ανταλλακτικών µεταφορικών µέσων και προµήθειες υδραυλικών συστηµάτων οχηµάτων</t>
  </si>
  <si>
    <t>ΒΕΤ9Ω10-90Υ</t>
  </si>
  <si>
    <t>Ανάθεση της προµήθειας υγρών καυσίµων έτους 2013 µε την διαδικασία της διαπραγµάτευσης ενδεικτικής προϋπολογισθείσας δαπάνης 613.193,75 € µε Φ.Π.Α.</t>
  </si>
  <si>
    <t>ΒΕΔΔΩ10-Ι4Ρ</t>
  </si>
  <si>
    <t>Αίτηµα προς εξώδικο συµβιβασµό απαιτήσεων από την«παροχή υπηρεσιών για την υποστήριξη του ∆ήµου Σερρών στην κατάρτιση και παρακολούθηση του επιχειρησιακού προγράµµατος 2012-2014 »</t>
  </si>
  <si>
    <t>ΒΕΔΔΩ10-3Τ8</t>
  </si>
  <si>
    <t>Εξέταση ΠΡΟ∆ΙΚΑΣΤΙΚΗΣ ΠΡΟΣΦΥΓΗΣ της εταιρείας En. Act. Ε.Π.Ε. έναντι της αρ. 48/2013 απόφασης της Οικονοµικής Επιτροπής που αφορά την Αποκοµιδή απορριµµάτων της ∆.Ε. Μητρουσίου του ∆ήµου Σερρών</t>
  </si>
  <si>
    <t>Οικονοµική Επιτροπή της εταιρείας En.Act. Ε.Π.Ε. και της εταιρείας ΠΑΤΣΙΑΛΑ Μ. – ΝΙΖΑΜΗ Θ. Ο.Ε.</t>
  </si>
  <si>
    <t>ΒΕΔΔΩ10-8ΟΙ</t>
  </si>
  <si>
    <t>Εξέταση ΠΡΟ∆ΙΚΑΣΤΙΚΗΣ ΠΡΟΣΦΥΓΗΣ της εταιρείας En.Act. Ε.Π.Ε. έναντι της αρ. 46/2013 απόφασης της Οικονοµικής Επιτροπής που αφορά την Αποκοµιδή απορριµµάτων της ∆.Ε. Σερρών του ∆ήµου Σερρών</t>
  </si>
  <si>
    <t>Προσφυγή της εταιρείας En.Act. Ε.Π.Ε. κατά της απόφασης µε αρ. 46/2013 της Οικονοµικής Επιτροπής</t>
  </si>
  <si>
    <t>ΒΕΙΕΩ10-ΩΛΒ</t>
  </si>
  <si>
    <t>Έγκριση πρακτικών πλειοδοτικής δηµοπρασίας για την εκµίσθωση ακινήτου από το ∆ήµο Σερρών ∆ηµοτικής έκτασης515.523,59τ.µ. για την εγκατάσταση ανεµογεννητριών (τύπου δένδρου ) στην Τ. Κοινότητα Άνω Βροντούς</t>
  </si>
  <si>
    <t>ΒΕΔ3Ω10-Β95</t>
  </si>
  <si>
    <t>Έγκριση ή µη των πρακτικών αξιολόγησης των τεχνικών προσφορών του ανοικτού διαγωνισµού για την προµήθεια λογισµικού αγωνιστικής προσοµοίωσης για τον προσοµοιωτή µάρκας FOERST τύπου TUYOR, προσαρµοσµένο στην πίστα του αυτοκινητοδροµίου Σερρών προϋπολογισθείσας αξίας33.210 € µε Φ.Π.Α. και επανάληψη ή µη του διαγωνισµού µε τροποποίηση των όρων και των τεχνικών προδιαγραφών</t>
  </si>
  <si>
    <t>ΒΕΔΓΩ10-ΘΧ6</t>
  </si>
  <si>
    <t>Έγκριση και διάθεση πίστωσης για οφειλές οικονοµικού έτους 2012 που έχουν εξειδικευµένη χρηµατοδότηση</t>
  </si>
  <si>
    <t>ΒΕΔΓΩ10-ΟΘ7</t>
  </si>
  <si>
    <t>Έγκριση και διάθεση πίστωσης για τις οφειλές έτους2012 του ∆ήµου Σερρών που αφορούν έκτακτα προνοιακά επιδόµατα</t>
  </si>
  <si>
    <t>ΒΕΔΙΩ10-0ΜΕ</t>
  </si>
  <si>
    <t>Ψήφιση- ∆ιάθεση πιστώσεων για το έτος 2013</t>
  </si>
  <si>
    <t>∆ιεύθυνση Καθαριότητας του ∆ήµου</t>
  </si>
  <si>
    <t>ΒΕΔΓΩ10-ΓΞ5</t>
  </si>
  <si>
    <t>Έγκριση και διάθεση πίστωσης για τις οφειλές έτους2012 του ∆ήµου Σερρών που αφορούν έξοδα κίνησης αιρετών και υπαλλήλων και υπερωριακή απασχόληση υπαλλήλων</t>
  </si>
  <si>
    <t>ΒΕΔΓΩ10-ΒΧΚ</t>
  </si>
  <si>
    <t>Έγκριση και διάθεση(ψήφιση) διαφόρων πιστώσεων του προϋπολογισµού οικονοµικού έτους 2013</t>
  </si>
  <si>
    <t>ΒΕΔΙΩ10-Ρ86</t>
  </si>
  <si>
    <t>ΒΕΔ3Ω10-ΧΧΘ</t>
  </si>
  <si>
    <t>Απ’ ευθείας ανάθεση ειδικής στατικής µελέτης τριών τριδύµων οχετών, που αφορά το έργο«∆ιευθέτηση χειµάρρου Καµενικίων Ν. Σερρών»</t>
  </si>
  <si>
    <t>ΒΕΔ3Ω10-Α9Σ</t>
  </si>
  <si>
    <t>Έγκριση πρακτικών δηµοπρασίας του έργου: « Συντηρήσεις ∆ρόµων Τ.Κ. Άνω Βροντούς».</t>
  </si>
  <si>
    <t>ΒΕΔ0Ω10-ΛΥΙ</t>
  </si>
  <si>
    <t>Τμήμα Κοινωνικής Προστασίας του ∆ήµου</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</si>
</sst>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theme="1"/>
      <name val="Calibri"/>
      <family val="2"/>
      <charset val="161"/>
      <scheme val="minor"/>
    </font>
    <font>
      <b/>
      <sz val="10"/>
      <color theme="1"/>
      <name val="Calibri"/>
      <family val="2"/>
      <charset val="161"/>
      <scheme val="minor"/>
    </font>
    <font>
      <sz val="10"/>
      <color theme="1"/>
      <name val="Calibri"/>
      <family val="2"/>
      <charset val="161"/>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8">
    <xf numFmtId="0" fontId="0" fillId="0" borderId="0" xfId="0"/>
    <xf numFmtId="0" fontId="1" fillId="0" borderId="1" xfId="0" applyFont="1" applyBorder="1" applyAlignment="1">
      <alignment horizontal="center" vertical="top" wrapText="1"/>
    </xf>
    <xf numFmtId="0" fontId="0" fillId="0" borderId="0" xfId="0" applyAlignment="1">
      <alignment vertical="top"/>
    </xf>
    <xf numFmtId="0" fontId="2" fillId="0" borderId="1" xfId="0" applyFont="1" applyBorder="1" applyAlignment="1">
      <alignment vertical="top" wrapText="1"/>
    </xf>
    <xf numFmtId="14" fontId="2" fillId="0" borderId="1" xfId="0" applyNumberFormat="1" applyFont="1" applyBorder="1" applyAlignment="1">
      <alignment vertical="top" wrapText="1"/>
    </xf>
    <xf numFmtId="0" fontId="0" fillId="0" borderId="1" xfId="0" applyBorder="1" applyAlignment="1">
      <alignment vertical="top" wrapText="1"/>
    </xf>
    <xf numFmtId="20" fontId="2" fillId="0" borderId="1" xfId="0" applyNumberFormat="1" applyFont="1" applyBorder="1" applyAlignment="1">
      <alignment vertical="top" wrapText="1"/>
    </xf>
    <xf numFmtId="0" fontId="0" fillId="0" borderId="1" xfId="0" applyBorder="1" applyAlignment="1">
      <alignment vertical="top"/>
    </xf>
  </cellXfs>
  <cellStyles count="1">
    <cellStyle name="Κανονικό"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10"/>
  <sheetViews>
    <sheetView tabSelected="1" workbookViewId="0">
      <selection activeCell="A2" sqref="A2"/>
    </sheetView>
  </sheetViews>
  <sheetFormatPr defaultRowHeight="15" x14ac:dyDescent="0.25"/>
  <cols>
    <col min="1" max="1" width="9" bestFit="1" customWidth="1"/>
    <col min="2" max="2" width="7.42578125" bestFit="1" customWidth="1"/>
    <col min="3" max="3" width="9" bestFit="1" customWidth="1"/>
    <col min="5" max="5" width="10.42578125" customWidth="1"/>
    <col min="6" max="6" width="14" bestFit="1" customWidth="1"/>
    <col min="7" max="7" width="11" bestFit="1" customWidth="1"/>
    <col min="8" max="8" width="29" customWidth="1"/>
    <col min="9" max="9" width="20.42578125" bestFit="1" customWidth="1"/>
    <col min="10" max="10" width="11" bestFit="1" customWidth="1"/>
    <col min="11" max="11" width="8.28515625" bestFit="1" customWidth="1"/>
    <col min="12" max="12" width="14.42578125" bestFit="1" customWidth="1"/>
    <col min="15" max="15" width="8.85546875" bestFit="1" customWidth="1"/>
    <col min="17" max="17" width="8.28515625" bestFit="1" customWidth="1"/>
  </cols>
  <sheetData>
    <row r="1" spans="1:18" s="2" customFormat="1" ht="51" x14ac:dyDescent="0.25">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row>
    <row r="2" spans="1:18" ht="102" x14ac:dyDescent="0.25">
      <c r="A2" s="3" t="s">
        <v>18</v>
      </c>
      <c r="B2" s="3">
        <v>2013</v>
      </c>
      <c r="C2" s="3" t="s">
        <v>19</v>
      </c>
      <c r="D2" s="3" t="str">
        <f>"1 / 19 / 2013"</f>
        <v>1 / 19 / 2013</v>
      </c>
      <c r="E2" s="4">
        <v>41540</v>
      </c>
      <c r="F2" s="5"/>
      <c r="G2" s="5"/>
      <c r="H2" s="3" t="s">
        <v>20</v>
      </c>
      <c r="I2" s="3" t="str">
        <f>"19 / 29-08-2013"</f>
        <v>19 / 29-08-2013</v>
      </c>
      <c r="J2" s="4">
        <v>41515</v>
      </c>
      <c r="K2" s="6">
        <v>0.875</v>
      </c>
      <c r="L2" s="3">
        <v>2</v>
      </c>
      <c r="M2" s="3" t="s">
        <v>21</v>
      </c>
      <c r="N2" s="5"/>
      <c r="O2" s="5"/>
      <c r="P2" s="3" t="s">
        <v>22</v>
      </c>
      <c r="Q2" s="7"/>
      <c r="R2" s="7"/>
    </row>
    <row r="3" spans="1:18" ht="63.75" x14ac:dyDescent="0.25">
      <c r="A3" s="3" t="s">
        <v>18</v>
      </c>
      <c r="B3" s="3">
        <v>2013</v>
      </c>
      <c r="C3" s="3" t="s">
        <v>19</v>
      </c>
      <c r="D3" s="3" t="str">
        <f>"10/2013"</f>
        <v>10/2013</v>
      </c>
      <c r="E3" s="4">
        <v>41303</v>
      </c>
      <c r="F3" s="3" t="s">
        <v>23</v>
      </c>
      <c r="G3" s="5"/>
      <c r="H3" s="3" t="s">
        <v>24</v>
      </c>
      <c r="I3" s="3" t="str">
        <f>"3/23-01-2013"</f>
        <v>3/23-01-2013</v>
      </c>
      <c r="J3" s="4">
        <v>41297</v>
      </c>
      <c r="K3" s="6">
        <v>0.8125</v>
      </c>
      <c r="L3" s="3">
        <v>3</v>
      </c>
      <c r="M3" s="3" t="s">
        <v>25</v>
      </c>
      <c r="N3" s="3" t="s">
        <v>26</v>
      </c>
      <c r="O3" s="5"/>
      <c r="P3" s="3" t="s">
        <v>22</v>
      </c>
      <c r="Q3" s="7"/>
      <c r="R3" s="7"/>
    </row>
    <row r="4" spans="1:18" ht="89.25" x14ac:dyDescent="0.25">
      <c r="A4" s="3" t="s">
        <v>18</v>
      </c>
      <c r="B4" s="3">
        <v>2013</v>
      </c>
      <c r="C4" s="3" t="s">
        <v>19</v>
      </c>
      <c r="D4" s="3" t="str">
        <f>"109 / 2013"</f>
        <v>109 / 2013</v>
      </c>
      <c r="E4" s="4">
        <v>41362</v>
      </c>
      <c r="F4" s="3" t="s">
        <v>27</v>
      </c>
      <c r="G4" s="5"/>
      <c r="H4" s="3" t="s">
        <v>28</v>
      </c>
      <c r="I4" s="3" t="str">
        <f>"6 / 06-03-2013"</f>
        <v>6 / 06-03-2013</v>
      </c>
      <c r="J4" s="4">
        <v>41339</v>
      </c>
      <c r="K4" s="6">
        <v>0.79166666666666663</v>
      </c>
      <c r="L4" s="3">
        <v>13</v>
      </c>
      <c r="M4" s="3" t="s">
        <v>29</v>
      </c>
      <c r="N4" s="3" t="s">
        <v>29</v>
      </c>
      <c r="O4" s="5"/>
      <c r="P4" s="3" t="s">
        <v>22</v>
      </c>
      <c r="Q4" s="7"/>
      <c r="R4" s="7"/>
    </row>
    <row r="5" spans="1:18" ht="51" x14ac:dyDescent="0.25">
      <c r="A5" s="3" t="s">
        <v>18</v>
      </c>
      <c r="B5" s="3">
        <v>2013</v>
      </c>
      <c r="C5" s="3" t="s">
        <v>19</v>
      </c>
      <c r="D5" s="3" t="str">
        <f>"11/2013"</f>
        <v>11/2013</v>
      </c>
      <c r="E5" s="4">
        <v>41303</v>
      </c>
      <c r="F5" s="3" t="s">
        <v>30</v>
      </c>
      <c r="G5" s="5"/>
      <c r="H5" s="3" t="s">
        <v>31</v>
      </c>
      <c r="I5" s="3" t="str">
        <f>"3/23-01-2013"</f>
        <v>3/23-01-2013</v>
      </c>
      <c r="J5" s="4">
        <v>41297</v>
      </c>
      <c r="K5" s="6">
        <v>0.8125</v>
      </c>
      <c r="L5" s="3">
        <v>4</v>
      </c>
      <c r="M5" s="3" t="s">
        <v>32</v>
      </c>
      <c r="N5" s="3" t="s">
        <v>26</v>
      </c>
      <c r="O5" s="5"/>
      <c r="P5" s="3" t="s">
        <v>22</v>
      </c>
      <c r="Q5" s="7"/>
      <c r="R5" s="7"/>
    </row>
    <row r="6" spans="1:18" ht="89.25" x14ac:dyDescent="0.25">
      <c r="A6" s="3" t="s">
        <v>18</v>
      </c>
      <c r="B6" s="3">
        <v>2013</v>
      </c>
      <c r="C6" s="3" t="s">
        <v>19</v>
      </c>
      <c r="D6" s="3" t="str">
        <f>"111 / 2013"</f>
        <v>111 / 2013</v>
      </c>
      <c r="E6" s="4">
        <v>41360</v>
      </c>
      <c r="F6" s="3" t="s">
        <v>33</v>
      </c>
      <c r="G6" s="5"/>
      <c r="H6" s="3" t="s">
        <v>34</v>
      </c>
      <c r="I6" s="3" t="str">
        <f>"6 / 06-03-2013"</f>
        <v>6 / 06-03-2013</v>
      </c>
      <c r="J6" s="4">
        <v>41339</v>
      </c>
      <c r="K6" s="6">
        <v>0.79166666666666663</v>
      </c>
      <c r="L6" s="3">
        <v>15</v>
      </c>
      <c r="M6" s="3" t="s">
        <v>35</v>
      </c>
      <c r="N6" s="3" t="s">
        <v>35</v>
      </c>
      <c r="O6" s="5"/>
      <c r="P6" s="3" t="s">
        <v>22</v>
      </c>
      <c r="Q6" s="7"/>
      <c r="R6" s="7"/>
    </row>
    <row r="7" spans="1:18" ht="51" x14ac:dyDescent="0.25">
      <c r="A7" s="3" t="s">
        <v>18</v>
      </c>
      <c r="B7" s="3">
        <v>2013</v>
      </c>
      <c r="C7" s="3" t="s">
        <v>19</v>
      </c>
      <c r="D7" s="3" t="str">
        <f>"12/2013"</f>
        <v>12/2013</v>
      </c>
      <c r="E7" s="4">
        <v>41305</v>
      </c>
      <c r="F7" s="3" t="s">
        <v>36</v>
      </c>
      <c r="G7" s="5"/>
      <c r="H7" s="3" t="s">
        <v>37</v>
      </c>
      <c r="I7" s="3" t="str">
        <f>"3/23-01-2013"</f>
        <v>3/23-01-2013</v>
      </c>
      <c r="J7" s="4">
        <v>41297</v>
      </c>
      <c r="K7" s="6">
        <v>0.8125</v>
      </c>
      <c r="L7" s="3">
        <v>5</v>
      </c>
      <c r="M7" s="3" t="s">
        <v>32</v>
      </c>
      <c r="N7" s="3" t="s">
        <v>26</v>
      </c>
      <c r="O7" s="5"/>
      <c r="P7" s="3" t="s">
        <v>22</v>
      </c>
      <c r="Q7" s="7"/>
      <c r="R7" s="7"/>
    </row>
    <row r="8" spans="1:18" ht="76.5" x14ac:dyDescent="0.25">
      <c r="A8" s="3" t="s">
        <v>18</v>
      </c>
      <c r="B8" s="3">
        <v>2013</v>
      </c>
      <c r="C8" s="3" t="s">
        <v>19</v>
      </c>
      <c r="D8" s="3" t="str">
        <f>"13/2013"</f>
        <v>13/2013</v>
      </c>
      <c r="E8" s="4">
        <v>41303</v>
      </c>
      <c r="F8" s="3" t="s">
        <v>38</v>
      </c>
      <c r="G8" s="5"/>
      <c r="H8" s="3" t="s">
        <v>39</v>
      </c>
      <c r="I8" s="3" t="str">
        <f>"3/23-01-2013"</f>
        <v>3/23-01-2013</v>
      </c>
      <c r="J8" s="4">
        <v>41297</v>
      </c>
      <c r="K8" s="6">
        <v>0.8125</v>
      </c>
      <c r="L8" s="3">
        <v>6</v>
      </c>
      <c r="M8" s="3" t="s">
        <v>32</v>
      </c>
      <c r="N8" s="3" t="s">
        <v>26</v>
      </c>
      <c r="O8" s="5"/>
      <c r="P8" s="3" t="s">
        <v>22</v>
      </c>
      <c r="Q8" s="7"/>
      <c r="R8" s="7"/>
    </row>
    <row r="9" spans="1:18" ht="76.5" x14ac:dyDescent="0.25">
      <c r="A9" s="3" t="s">
        <v>18</v>
      </c>
      <c r="B9" s="3">
        <v>2013</v>
      </c>
      <c r="C9" s="3" t="s">
        <v>19</v>
      </c>
      <c r="D9" s="3" t="str">
        <f>"139 / 2013"</f>
        <v>139 / 2013</v>
      </c>
      <c r="E9" s="4">
        <v>41348</v>
      </c>
      <c r="F9" s="5"/>
      <c r="G9" s="5"/>
      <c r="H9" s="3" t="s">
        <v>40</v>
      </c>
      <c r="I9" s="3" t="str">
        <f>"7 / 13-03-2013"</f>
        <v>7 / 13-03-2013</v>
      </c>
      <c r="J9" s="4">
        <v>41346</v>
      </c>
      <c r="K9" s="6">
        <v>0.79166666666666663</v>
      </c>
      <c r="L9" s="3">
        <v>7</v>
      </c>
      <c r="M9" s="5"/>
      <c r="N9" s="3" t="s">
        <v>41</v>
      </c>
      <c r="O9" s="5"/>
      <c r="P9" s="3" t="s">
        <v>22</v>
      </c>
      <c r="Q9" s="7"/>
      <c r="R9" s="7"/>
    </row>
    <row r="10" spans="1:18" ht="63.75" x14ac:dyDescent="0.25">
      <c r="A10" s="3" t="s">
        <v>18</v>
      </c>
      <c r="B10" s="3">
        <v>2013</v>
      </c>
      <c r="C10" s="3" t="s">
        <v>19</v>
      </c>
      <c r="D10" s="3" t="str">
        <f>"14/2013"</f>
        <v>14/2013</v>
      </c>
      <c r="E10" s="4">
        <v>41305</v>
      </c>
      <c r="F10" s="3" t="s">
        <v>42</v>
      </c>
      <c r="G10" s="5"/>
      <c r="H10" s="3" t="s">
        <v>43</v>
      </c>
      <c r="I10" s="3" t="str">
        <f>"3/23-01-2013"</f>
        <v>3/23-01-2013</v>
      </c>
      <c r="J10" s="4">
        <v>41297</v>
      </c>
      <c r="K10" s="6">
        <v>0.8125</v>
      </c>
      <c r="L10" s="3">
        <v>7</v>
      </c>
      <c r="M10" s="3" t="s">
        <v>44</v>
      </c>
      <c r="N10" s="3" t="s">
        <v>45</v>
      </c>
      <c r="O10" s="5"/>
      <c r="P10" s="3" t="s">
        <v>22</v>
      </c>
      <c r="Q10" s="7"/>
      <c r="R10" s="7"/>
    </row>
    <row r="11" spans="1:18" ht="63.75" x14ac:dyDescent="0.25">
      <c r="A11" s="3" t="s">
        <v>18</v>
      </c>
      <c r="B11" s="3">
        <v>2013</v>
      </c>
      <c r="C11" s="3" t="s">
        <v>19</v>
      </c>
      <c r="D11" s="3" t="str">
        <f>"149 / 2013"</f>
        <v>149 / 2013</v>
      </c>
      <c r="E11" s="4">
        <v>41354</v>
      </c>
      <c r="F11" s="5"/>
      <c r="G11" s="5"/>
      <c r="H11" s="3" t="s">
        <v>46</v>
      </c>
      <c r="I11" s="3" t="str">
        <f>"7 / 13-03-2013"</f>
        <v>7 / 13-03-2013</v>
      </c>
      <c r="J11" s="4">
        <v>41346</v>
      </c>
      <c r="K11" s="6">
        <v>0.79166666666666663</v>
      </c>
      <c r="L11" s="3">
        <v>14</v>
      </c>
      <c r="M11" s="5"/>
      <c r="N11" s="3" t="s">
        <v>47</v>
      </c>
      <c r="O11" s="5"/>
      <c r="P11" s="3" t="s">
        <v>22</v>
      </c>
      <c r="Q11" s="7"/>
      <c r="R11" s="7"/>
    </row>
    <row r="12" spans="1:18" ht="38.25" x14ac:dyDescent="0.25">
      <c r="A12" s="3" t="s">
        <v>18</v>
      </c>
      <c r="B12" s="3">
        <v>2013</v>
      </c>
      <c r="C12" s="3" t="s">
        <v>19</v>
      </c>
      <c r="D12" s="3" t="str">
        <f>"15/2013"</f>
        <v>15/2013</v>
      </c>
      <c r="E12" s="4">
        <v>41299</v>
      </c>
      <c r="F12" s="3" t="s">
        <v>48</v>
      </c>
      <c r="G12" s="5"/>
      <c r="H12" s="3" t="s">
        <v>49</v>
      </c>
      <c r="I12" s="3" t="str">
        <f>"3/23-01-2013"</f>
        <v>3/23-01-2013</v>
      </c>
      <c r="J12" s="4">
        <v>41297</v>
      </c>
      <c r="K12" s="6">
        <v>0.8125</v>
      </c>
      <c r="L12" s="3">
        <v>8</v>
      </c>
      <c r="M12" s="3" t="s">
        <v>50</v>
      </c>
      <c r="N12" s="3" t="s">
        <v>51</v>
      </c>
      <c r="O12" s="5"/>
      <c r="P12" s="3" t="s">
        <v>22</v>
      </c>
      <c r="Q12" s="7"/>
      <c r="R12" s="7"/>
    </row>
    <row r="13" spans="1:18" ht="51" x14ac:dyDescent="0.25">
      <c r="A13" s="3" t="s">
        <v>18</v>
      </c>
      <c r="B13" s="3">
        <v>2013</v>
      </c>
      <c r="C13" s="3" t="s">
        <v>19</v>
      </c>
      <c r="D13" s="3" t="str">
        <f>"154 / 2013"</f>
        <v>154 / 2013</v>
      </c>
      <c r="E13" s="4">
        <v>41365</v>
      </c>
      <c r="F13" s="5"/>
      <c r="G13" s="5"/>
      <c r="H13" s="3" t="s">
        <v>52</v>
      </c>
      <c r="I13" s="3" t="str">
        <f>"7 / 13-03-2013"</f>
        <v>7 / 13-03-2013</v>
      </c>
      <c r="J13" s="4">
        <v>41346</v>
      </c>
      <c r="K13" s="6">
        <v>0.79166666666666663</v>
      </c>
      <c r="L13" s="3">
        <v>18</v>
      </c>
      <c r="M13" s="5"/>
      <c r="N13" s="3" t="s">
        <v>53</v>
      </c>
      <c r="O13" s="5"/>
      <c r="P13" s="3" t="s">
        <v>22</v>
      </c>
      <c r="Q13" s="7"/>
      <c r="R13" s="7"/>
    </row>
    <row r="14" spans="1:18" ht="102" x14ac:dyDescent="0.25">
      <c r="A14" s="3" t="s">
        <v>18</v>
      </c>
      <c r="B14" s="3">
        <v>2013</v>
      </c>
      <c r="C14" s="3" t="s">
        <v>19</v>
      </c>
      <c r="D14" s="3" t="str">
        <f>"17/2013"</f>
        <v>17/2013</v>
      </c>
      <c r="E14" s="4">
        <v>41297</v>
      </c>
      <c r="F14" s="3" t="s">
        <v>54</v>
      </c>
      <c r="G14" s="5"/>
      <c r="H14" s="3" t="s">
        <v>55</v>
      </c>
      <c r="I14" s="3" t="str">
        <f>"3/23-01-2013"</f>
        <v>3/23-01-2013</v>
      </c>
      <c r="J14" s="4">
        <v>41297</v>
      </c>
      <c r="K14" s="6">
        <v>0.8125</v>
      </c>
      <c r="L14" s="3">
        <v>10</v>
      </c>
      <c r="M14" s="3" t="s">
        <v>56</v>
      </c>
      <c r="N14" s="3" t="s">
        <v>56</v>
      </c>
      <c r="O14" s="5"/>
      <c r="P14" s="3" t="s">
        <v>22</v>
      </c>
      <c r="Q14" s="7"/>
      <c r="R14" s="7"/>
    </row>
    <row r="15" spans="1:18" ht="114.75" x14ac:dyDescent="0.25">
      <c r="A15" s="3" t="s">
        <v>18</v>
      </c>
      <c r="B15" s="3">
        <v>2013</v>
      </c>
      <c r="C15" s="3" t="s">
        <v>19</v>
      </c>
      <c r="D15" s="3" t="str">
        <f>"2 / 16 / 2013"</f>
        <v>2 / 16 / 2013</v>
      </c>
      <c r="E15" s="4">
        <v>41521</v>
      </c>
      <c r="F15" s="5"/>
      <c r="G15" s="5"/>
      <c r="H15" s="3" t="s">
        <v>57</v>
      </c>
      <c r="I15" s="3" t="str">
        <f>"16 / 10-07-2013"</f>
        <v>16 / 10-07-2013</v>
      </c>
      <c r="J15" s="4">
        <v>41465</v>
      </c>
      <c r="K15" s="6">
        <v>0.79166666666666663</v>
      </c>
      <c r="L15" s="3">
        <v>6</v>
      </c>
      <c r="M15" s="3" t="s">
        <v>58</v>
      </c>
      <c r="N15" s="5"/>
      <c r="O15" s="5"/>
      <c r="P15" s="3" t="s">
        <v>22</v>
      </c>
      <c r="Q15" s="7"/>
      <c r="R15" s="7"/>
    </row>
    <row r="16" spans="1:18" ht="63.75" x14ac:dyDescent="0.25">
      <c r="A16" s="3" t="s">
        <v>18</v>
      </c>
      <c r="B16" s="3">
        <v>2013</v>
      </c>
      <c r="C16" s="3" t="s">
        <v>19</v>
      </c>
      <c r="D16" s="3" t="str">
        <f>"2/2013"</f>
        <v>2/2013</v>
      </c>
      <c r="E16" s="4">
        <v>41282</v>
      </c>
      <c r="F16" s="3" t="s">
        <v>59</v>
      </c>
      <c r="G16" s="5"/>
      <c r="H16" s="3" t="s">
        <v>60</v>
      </c>
      <c r="I16" s="3" t="str">
        <f>"1/6-1-2013"</f>
        <v>1/6-1-2013</v>
      </c>
      <c r="J16" s="4">
        <v>41280</v>
      </c>
      <c r="K16" s="6">
        <v>0.75</v>
      </c>
      <c r="L16" s="5"/>
      <c r="M16" s="3" t="s">
        <v>25</v>
      </c>
      <c r="N16" s="3" t="s">
        <v>26</v>
      </c>
      <c r="O16" s="5"/>
      <c r="P16" s="3" t="s">
        <v>22</v>
      </c>
      <c r="Q16" s="7"/>
      <c r="R16" s="7"/>
    </row>
    <row r="17" spans="1:18" ht="63.75" x14ac:dyDescent="0.25">
      <c r="A17" s="3" t="s">
        <v>18</v>
      </c>
      <c r="B17" s="3">
        <v>2013</v>
      </c>
      <c r="C17" s="3" t="s">
        <v>19</v>
      </c>
      <c r="D17" s="3" t="str">
        <f>"211 / 2013"</f>
        <v>211 / 2013</v>
      </c>
      <c r="E17" s="4">
        <v>41375</v>
      </c>
      <c r="F17" s="5"/>
      <c r="G17" s="5"/>
      <c r="H17" s="3" t="s">
        <v>61</v>
      </c>
      <c r="I17" s="3" t="str">
        <f>"8 / 03-04-2013"</f>
        <v>8 / 03-04-2013</v>
      </c>
      <c r="J17" s="4">
        <v>41367</v>
      </c>
      <c r="K17" s="6">
        <v>0.79166666666666663</v>
      </c>
      <c r="L17" s="3">
        <v>23</v>
      </c>
      <c r="M17" s="5"/>
      <c r="N17" s="3" t="s">
        <v>62</v>
      </c>
      <c r="O17" s="5"/>
      <c r="P17" s="3" t="s">
        <v>22</v>
      </c>
      <c r="Q17" s="7"/>
      <c r="R17" s="7"/>
    </row>
    <row r="18" spans="1:18" ht="63.75" x14ac:dyDescent="0.25">
      <c r="A18" s="3" t="s">
        <v>18</v>
      </c>
      <c r="B18" s="3">
        <v>2013</v>
      </c>
      <c r="C18" s="3" t="s">
        <v>19</v>
      </c>
      <c r="D18" s="3" t="str">
        <f>"27 / 2013"</f>
        <v>27 / 2013</v>
      </c>
      <c r="E18" s="4">
        <v>41302</v>
      </c>
      <c r="F18" s="5"/>
      <c r="G18" s="5"/>
      <c r="H18" s="3" t="s">
        <v>63</v>
      </c>
      <c r="I18" s="3" t="str">
        <f>"3 / 23-01-2013"</f>
        <v>3 / 23-01-2013</v>
      </c>
      <c r="J18" s="4">
        <v>41297</v>
      </c>
      <c r="K18" s="6">
        <v>0.8125</v>
      </c>
      <c r="L18" s="3">
        <v>22</v>
      </c>
      <c r="M18" s="5"/>
      <c r="N18" s="3" t="s">
        <v>53</v>
      </c>
      <c r="O18" s="5"/>
      <c r="P18" s="3" t="s">
        <v>22</v>
      </c>
      <c r="Q18" s="7"/>
      <c r="R18" s="7"/>
    </row>
    <row r="19" spans="1:18" ht="51" x14ac:dyDescent="0.25">
      <c r="A19" s="3" t="s">
        <v>18</v>
      </c>
      <c r="B19" s="3">
        <v>2013</v>
      </c>
      <c r="C19" s="3" t="s">
        <v>19</v>
      </c>
      <c r="D19" s="3" t="str">
        <f>"282 / 2013"</f>
        <v>282 / 2013</v>
      </c>
      <c r="E19" s="4">
        <v>41386</v>
      </c>
      <c r="F19" s="5"/>
      <c r="G19" s="5"/>
      <c r="H19" s="3" t="s">
        <v>64</v>
      </c>
      <c r="I19" s="3" t="str">
        <f>"9 / 17-04-2013"</f>
        <v>9 / 17-04-2013</v>
      </c>
      <c r="J19" s="4">
        <v>41381</v>
      </c>
      <c r="K19" s="6">
        <v>0.79166666666666663</v>
      </c>
      <c r="L19" s="3">
        <v>22</v>
      </c>
      <c r="M19" s="5"/>
      <c r="N19" s="3" t="s">
        <v>53</v>
      </c>
      <c r="O19" s="5"/>
      <c r="P19" s="3" t="s">
        <v>22</v>
      </c>
      <c r="Q19" s="7"/>
      <c r="R19" s="7"/>
    </row>
    <row r="20" spans="1:18" ht="51" x14ac:dyDescent="0.25">
      <c r="A20" s="3" t="s">
        <v>18</v>
      </c>
      <c r="B20" s="3">
        <v>2013</v>
      </c>
      <c r="C20" s="3" t="s">
        <v>19</v>
      </c>
      <c r="D20" s="3" t="str">
        <f>"29 / 2013"</f>
        <v>29 / 2013</v>
      </c>
      <c r="E20" s="4">
        <v>41302</v>
      </c>
      <c r="F20" s="5"/>
      <c r="G20" s="5"/>
      <c r="H20" s="3" t="s">
        <v>65</v>
      </c>
      <c r="I20" s="3" t="str">
        <f>"3 / 23-01-2013"</f>
        <v>3 / 23-01-2013</v>
      </c>
      <c r="J20" s="4">
        <v>41297</v>
      </c>
      <c r="K20" s="6">
        <v>0.8125</v>
      </c>
      <c r="L20" s="3">
        <v>22</v>
      </c>
      <c r="M20" s="5"/>
      <c r="N20" s="3" t="s">
        <v>53</v>
      </c>
      <c r="O20" s="5"/>
      <c r="P20" s="3" t="s">
        <v>22</v>
      </c>
      <c r="Q20" s="7"/>
      <c r="R20" s="7"/>
    </row>
    <row r="21" spans="1:18" ht="63.75" x14ac:dyDescent="0.25">
      <c r="A21" s="3" t="s">
        <v>18</v>
      </c>
      <c r="B21" s="3">
        <v>2013</v>
      </c>
      <c r="C21" s="3" t="s">
        <v>19</v>
      </c>
      <c r="D21" s="3" t="str">
        <f>"3/2013"</f>
        <v>3/2013</v>
      </c>
      <c r="E21" s="4">
        <v>41283</v>
      </c>
      <c r="F21" s="3" t="s">
        <v>66</v>
      </c>
      <c r="G21" s="5"/>
      <c r="H21" s="3" t="s">
        <v>67</v>
      </c>
      <c r="I21" s="3" t="str">
        <f>"1/6-1-2013"</f>
        <v>1/6-1-2013</v>
      </c>
      <c r="J21" s="4">
        <v>41280</v>
      </c>
      <c r="K21" s="6">
        <v>0.75</v>
      </c>
      <c r="L21" s="5"/>
      <c r="M21" s="3" t="s">
        <v>25</v>
      </c>
      <c r="N21" s="3" t="s">
        <v>26</v>
      </c>
      <c r="O21" s="5"/>
      <c r="P21" s="3" t="s">
        <v>22</v>
      </c>
      <c r="Q21" s="7"/>
      <c r="R21" s="7"/>
    </row>
    <row r="22" spans="1:18" ht="76.5" x14ac:dyDescent="0.25">
      <c r="A22" s="3" t="s">
        <v>18</v>
      </c>
      <c r="B22" s="3">
        <v>2013</v>
      </c>
      <c r="C22" s="3" t="s">
        <v>19</v>
      </c>
      <c r="D22" s="3" t="str">
        <f>"320 / 2013"</f>
        <v>320 / 2013</v>
      </c>
      <c r="E22" s="4">
        <v>41402</v>
      </c>
      <c r="F22" s="5"/>
      <c r="G22" s="5"/>
      <c r="H22" s="3" t="s">
        <v>68</v>
      </c>
      <c r="I22" s="3" t="str">
        <f>"10 / 30-04-2013"</f>
        <v>10 / 30-04-2013</v>
      </c>
      <c r="J22" s="4">
        <v>41394</v>
      </c>
      <c r="K22" s="6">
        <v>0.64583333333333337</v>
      </c>
      <c r="L22" s="3">
        <v>12</v>
      </c>
      <c r="M22" s="5"/>
      <c r="N22" s="3" t="s">
        <v>47</v>
      </c>
      <c r="O22" s="5"/>
      <c r="P22" s="3" t="s">
        <v>22</v>
      </c>
      <c r="Q22" s="7"/>
      <c r="R22" s="7"/>
    </row>
    <row r="23" spans="1:18" ht="63.75" x14ac:dyDescent="0.25">
      <c r="A23" s="3" t="s">
        <v>18</v>
      </c>
      <c r="B23" s="3">
        <v>2013</v>
      </c>
      <c r="C23" s="3" t="s">
        <v>19</v>
      </c>
      <c r="D23" s="3" t="str">
        <f>"4/2013"</f>
        <v>4/2013</v>
      </c>
      <c r="E23" s="4">
        <v>41312</v>
      </c>
      <c r="F23" s="3" t="s">
        <v>69</v>
      </c>
      <c r="G23" s="5"/>
      <c r="H23" s="3" t="s">
        <v>70</v>
      </c>
      <c r="I23" s="3" t="str">
        <f>"2/23-01-2013"</f>
        <v>2/23-01-2013</v>
      </c>
      <c r="J23" s="4">
        <v>41297</v>
      </c>
      <c r="K23" s="6">
        <v>0.79166666666666663</v>
      </c>
      <c r="L23" s="5"/>
      <c r="M23" s="3" t="s">
        <v>71</v>
      </c>
      <c r="N23" s="3" t="s">
        <v>72</v>
      </c>
      <c r="O23" s="5"/>
      <c r="P23" s="3" t="s">
        <v>22</v>
      </c>
      <c r="Q23" s="7"/>
      <c r="R23" s="7"/>
    </row>
    <row r="24" spans="1:18" ht="76.5" x14ac:dyDescent="0.25">
      <c r="A24" s="3" t="s">
        <v>18</v>
      </c>
      <c r="B24" s="3">
        <v>2013</v>
      </c>
      <c r="C24" s="3" t="s">
        <v>19</v>
      </c>
      <c r="D24" s="3" t="str">
        <f>"416 / 2013"</f>
        <v>416 / 2013</v>
      </c>
      <c r="E24" s="4">
        <v>41438</v>
      </c>
      <c r="F24" s="5"/>
      <c r="G24" s="5"/>
      <c r="H24" s="3" t="s">
        <v>73</v>
      </c>
      <c r="I24" s="3" t="str">
        <f>"14 / 12-06-2013"</f>
        <v>14 / 12-06-2013</v>
      </c>
      <c r="J24" s="4">
        <v>41437</v>
      </c>
      <c r="K24" s="6">
        <v>0.83333333333333337</v>
      </c>
      <c r="L24" s="5"/>
      <c r="M24" s="5"/>
      <c r="N24" s="3" t="s">
        <v>53</v>
      </c>
      <c r="O24" s="5"/>
      <c r="P24" s="3" t="s">
        <v>74</v>
      </c>
      <c r="Q24" s="7"/>
      <c r="R24" s="7"/>
    </row>
    <row r="25" spans="1:18" ht="51" x14ac:dyDescent="0.25">
      <c r="A25" s="3" t="s">
        <v>18</v>
      </c>
      <c r="B25" s="3">
        <v>2013</v>
      </c>
      <c r="C25" s="3" t="s">
        <v>19</v>
      </c>
      <c r="D25" s="3" t="str">
        <f>"471 / 2013"</f>
        <v>471 / 2013</v>
      </c>
      <c r="E25" s="4">
        <v>41484</v>
      </c>
      <c r="F25" s="5"/>
      <c r="G25" s="5"/>
      <c r="H25" s="3" t="s">
        <v>75</v>
      </c>
      <c r="I25" s="3" t="str">
        <f>"16 / 10-07-2013"</f>
        <v>16 / 10-07-2013</v>
      </c>
      <c r="J25" s="4">
        <v>41465</v>
      </c>
      <c r="K25" s="6">
        <v>0.79166666666666663</v>
      </c>
      <c r="L25" s="3">
        <v>20</v>
      </c>
      <c r="M25" s="5"/>
      <c r="N25" s="3" t="s">
        <v>53</v>
      </c>
      <c r="O25" s="5"/>
      <c r="P25" s="3" t="s">
        <v>22</v>
      </c>
      <c r="Q25" s="7"/>
      <c r="R25" s="7"/>
    </row>
    <row r="26" spans="1:18" ht="76.5" x14ac:dyDescent="0.25">
      <c r="A26" s="3" t="s">
        <v>18</v>
      </c>
      <c r="B26" s="3">
        <v>2013</v>
      </c>
      <c r="C26" s="3" t="s">
        <v>19</v>
      </c>
      <c r="D26" s="3" t="str">
        <f>"5/2013"</f>
        <v>5/2013</v>
      </c>
      <c r="E26" s="4">
        <v>41298</v>
      </c>
      <c r="F26" s="3" t="s">
        <v>76</v>
      </c>
      <c r="G26" s="5"/>
      <c r="H26" s="3" t="s">
        <v>77</v>
      </c>
      <c r="I26" s="3" t="str">
        <f>"3/23-1-2013"</f>
        <v>3/23-1-2013</v>
      </c>
      <c r="J26" s="4">
        <v>41297</v>
      </c>
      <c r="K26" s="6">
        <v>0.8125</v>
      </c>
      <c r="L26" s="5"/>
      <c r="M26" s="3" t="s">
        <v>25</v>
      </c>
      <c r="N26" s="3" t="s">
        <v>51</v>
      </c>
      <c r="O26" s="5"/>
      <c r="P26" s="3" t="s">
        <v>74</v>
      </c>
      <c r="Q26" s="7"/>
      <c r="R26" s="7"/>
    </row>
    <row r="27" spans="1:18" ht="76.5" x14ac:dyDescent="0.25">
      <c r="A27" s="3" t="s">
        <v>18</v>
      </c>
      <c r="B27" s="3">
        <v>2013</v>
      </c>
      <c r="C27" s="3" t="s">
        <v>19</v>
      </c>
      <c r="D27" s="3" t="str">
        <f>"510 / 2013"</f>
        <v>510 / 2013</v>
      </c>
      <c r="E27" s="4">
        <v>41288</v>
      </c>
      <c r="F27" s="5"/>
      <c r="G27" s="5"/>
      <c r="H27" s="3" t="s">
        <v>78</v>
      </c>
      <c r="I27" s="3" t="str">
        <f>"16 / 10-07-2013"</f>
        <v>16 / 10-07-2013</v>
      </c>
      <c r="J27" s="4">
        <v>41465</v>
      </c>
      <c r="K27" s="6">
        <v>0.79166666666666663</v>
      </c>
      <c r="L27" s="5"/>
      <c r="M27" s="5"/>
      <c r="N27" s="3" t="s">
        <v>79</v>
      </c>
      <c r="O27" s="5"/>
      <c r="P27" s="3" t="s">
        <v>74</v>
      </c>
      <c r="Q27" s="7"/>
      <c r="R27" s="7"/>
    </row>
    <row r="28" spans="1:18" ht="89.25" x14ac:dyDescent="0.25">
      <c r="A28" s="3" t="s">
        <v>18</v>
      </c>
      <c r="B28" s="3">
        <v>2013</v>
      </c>
      <c r="C28" s="3" t="s">
        <v>19</v>
      </c>
      <c r="D28" s="3" t="str">
        <f>"53 / 2013"</f>
        <v>53 / 2013</v>
      </c>
      <c r="E28" s="4">
        <v>41332</v>
      </c>
      <c r="F28" s="5"/>
      <c r="G28" s="5"/>
      <c r="H28" s="3" t="s">
        <v>80</v>
      </c>
      <c r="I28" s="3" t="str">
        <f>"5 / 20-02-2013"</f>
        <v>5 / 20-02-2013</v>
      </c>
      <c r="J28" s="4">
        <v>41325</v>
      </c>
      <c r="K28" s="6">
        <v>0.79166666666666663</v>
      </c>
      <c r="L28" s="3">
        <v>4</v>
      </c>
      <c r="M28" s="5"/>
      <c r="N28" s="3" t="s">
        <v>53</v>
      </c>
      <c r="O28" s="5"/>
      <c r="P28" s="3" t="s">
        <v>22</v>
      </c>
      <c r="Q28" s="7"/>
      <c r="R28" s="7"/>
    </row>
    <row r="29" spans="1:18" ht="76.5" x14ac:dyDescent="0.25">
      <c r="A29" s="3" t="s">
        <v>18</v>
      </c>
      <c r="B29" s="3">
        <v>2013</v>
      </c>
      <c r="C29" s="3" t="s">
        <v>19</v>
      </c>
      <c r="D29" s="3" t="str">
        <f>"6/2013"</f>
        <v>6/2013</v>
      </c>
      <c r="E29" s="4">
        <v>41298</v>
      </c>
      <c r="F29" s="3" t="s">
        <v>81</v>
      </c>
      <c r="G29" s="5"/>
      <c r="H29" s="3" t="s">
        <v>82</v>
      </c>
      <c r="I29" s="3" t="str">
        <f>"3/23-1-2013"</f>
        <v>3/23-1-2013</v>
      </c>
      <c r="J29" s="4">
        <v>41297</v>
      </c>
      <c r="K29" s="6">
        <v>0.8125</v>
      </c>
      <c r="L29" s="5"/>
      <c r="M29" s="3" t="s">
        <v>25</v>
      </c>
      <c r="N29" s="3" t="s">
        <v>83</v>
      </c>
      <c r="O29" s="5"/>
      <c r="P29" s="3" t="s">
        <v>74</v>
      </c>
      <c r="Q29" s="7"/>
      <c r="R29" s="7"/>
    </row>
    <row r="30" spans="1:18" ht="102" x14ac:dyDescent="0.25">
      <c r="A30" s="3" t="s">
        <v>18</v>
      </c>
      <c r="B30" s="3">
        <v>2013</v>
      </c>
      <c r="C30" s="3" t="s">
        <v>19</v>
      </c>
      <c r="D30" s="3" t="str">
        <f>"686 / 2012"</f>
        <v>686 / 2012</v>
      </c>
      <c r="E30" s="4">
        <v>41292</v>
      </c>
      <c r="F30" s="3" t="s">
        <v>84</v>
      </c>
      <c r="G30" s="5"/>
      <c r="H30" s="3" t="s">
        <v>85</v>
      </c>
      <c r="I30" s="3" t="str">
        <f>"25 / 24-10-2012"</f>
        <v>25 / 24-10-2012</v>
      </c>
      <c r="J30" s="4">
        <v>41206</v>
      </c>
      <c r="K30" s="6">
        <v>0.79166666666666663</v>
      </c>
      <c r="L30" s="5"/>
      <c r="M30" s="5"/>
      <c r="N30" s="3" t="s">
        <v>86</v>
      </c>
      <c r="O30" s="5"/>
      <c r="P30" s="3" t="s">
        <v>74</v>
      </c>
      <c r="Q30" s="7"/>
      <c r="R30" s="7"/>
    </row>
    <row r="31" spans="1:18" ht="102" x14ac:dyDescent="0.25">
      <c r="A31" s="3" t="s">
        <v>18</v>
      </c>
      <c r="B31" s="3">
        <v>2013</v>
      </c>
      <c r="C31" s="3" t="s">
        <v>19</v>
      </c>
      <c r="D31" s="3" t="str">
        <f>"689 / 2012"</f>
        <v>689 / 2012</v>
      </c>
      <c r="E31" s="4">
        <v>41276</v>
      </c>
      <c r="F31" s="3" t="s">
        <v>87</v>
      </c>
      <c r="G31" s="5"/>
      <c r="H31" s="3" t="s">
        <v>88</v>
      </c>
      <c r="I31" s="3" t="str">
        <f>"28 / 21-11-2012"</f>
        <v>28 / 21-11-2012</v>
      </c>
      <c r="J31" s="4">
        <v>41234</v>
      </c>
      <c r="K31" s="6">
        <v>0.79166666666666663</v>
      </c>
      <c r="L31" s="3">
        <v>1</v>
      </c>
      <c r="M31" s="5"/>
      <c r="N31" s="3" t="s">
        <v>50</v>
      </c>
      <c r="O31" s="5"/>
      <c r="P31" s="3" t="s">
        <v>22</v>
      </c>
      <c r="Q31" s="7"/>
      <c r="R31" s="7"/>
    </row>
    <row r="32" spans="1:18" ht="51" x14ac:dyDescent="0.25">
      <c r="A32" s="3" t="s">
        <v>18</v>
      </c>
      <c r="B32" s="3">
        <v>2013</v>
      </c>
      <c r="C32" s="3" t="s">
        <v>19</v>
      </c>
      <c r="D32" s="3" t="str">
        <f>"692 / 2012"</f>
        <v>692 / 2012</v>
      </c>
      <c r="E32" s="4">
        <v>41568</v>
      </c>
      <c r="F32" s="3" t="s">
        <v>89</v>
      </c>
      <c r="G32" s="5"/>
      <c r="H32" s="3" t="s">
        <v>90</v>
      </c>
      <c r="I32" s="3" t="str">
        <f>"28 / 21-11-2012"</f>
        <v>28 / 21-11-2012</v>
      </c>
      <c r="J32" s="4">
        <v>41234</v>
      </c>
      <c r="K32" s="6">
        <v>0.79166666666666663</v>
      </c>
      <c r="L32" s="3">
        <v>4</v>
      </c>
      <c r="M32" s="3" t="s">
        <v>91</v>
      </c>
      <c r="N32" s="3" t="s">
        <v>92</v>
      </c>
      <c r="O32" s="5"/>
      <c r="P32" s="3" t="s">
        <v>22</v>
      </c>
      <c r="Q32" s="7"/>
      <c r="R32" s="7"/>
    </row>
    <row r="33" spans="1:18" ht="191.25" x14ac:dyDescent="0.25">
      <c r="A33" s="3" t="s">
        <v>18</v>
      </c>
      <c r="B33" s="3">
        <v>2013</v>
      </c>
      <c r="C33" s="3" t="s">
        <v>19</v>
      </c>
      <c r="D33" s="3" t="str">
        <f>"7/2013"</f>
        <v>7/2013</v>
      </c>
      <c r="E33" s="4">
        <v>41298</v>
      </c>
      <c r="F33" s="3" t="s">
        <v>93</v>
      </c>
      <c r="G33" s="5"/>
      <c r="H33" s="3" t="s">
        <v>94</v>
      </c>
      <c r="I33" s="3" t="str">
        <f>"3/23-1-2013"</f>
        <v>3/23-1-2013</v>
      </c>
      <c r="J33" s="4">
        <v>41297</v>
      </c>
      <c r="K33" s="6">
        <v>0.8125</v>
      </c>
      <c r="L33" s="5"/>
      <c r="M33" s="3" t="s">
        <v>95</v>
      </c>
      <c r="N33" s="3" t="s">
        <v>96</v>
      </c>
      <c r="O33" s="5"/>
      <c r="P33" s="3" t="s">
        <v>74</v>
      </c>
      <c r="Q33" s="7"/>
      <c r="R33" s="7"/>
    </row>
    <row r="34" spans="1:18" ht="51" x14ac:dyDescent="0.25">
      <c r="A34" s="3" t="s">
        <v>18</v>
      </c>
      <c r="B34" s="3">
        <v>2013</v>
      </c>
      <c r="C34" s="3" t="s">
        <v>19</v>
      </c>
      <c r="D34" s="3" t="str">
        <f>"703 / 2012"</f>
        <v>703 / 2012</v>
      </c>
      <c r="E34" s="4">
        <v>41285</v>
      </c>
      <c r="F34" s="3" t="s">
        <v>97</v>
      </c>
      <c r="G34" s="5"/>
      <c r="H34" s="3" t="s">
        <v>98</v>
      </c>
      <c r="I34" s="3" t="str">
        <f>"28 / 21-11-2012"</f>
        <v>28 / 21-11-2012</v>
      </c>
      <c r="J34" s="4">
        <v>41234</v>
      </c>
      <c r="K34" s="6">
        <v>0.79166666666666663</v>
      </c>
      <c r="L34" s="3">
        <v>14</v>
      </c>
      <c r="M34" s="5"/>
      <c r="N34" s="3" t="s">
        <v>56</v>
      </c>
      <c r="O34" s="5"/>
      <c r="P34" s="3" t="s">
        <v>22</v>
      </c>
      <c r="Q34" s="7"/>
      <c r="R34" s="7"/>
    </row>
    <row r="35" spans="1:18" ht="63.75" x14ac:dyDescent="0.25">
      <c r="A35" s="3" t="s">
        <v>18</v>
      </c>
      <c r="B35" s="3">
        <v>2013</v>
      </c>
      <c r="C35" s="3" t="s">
        <v>19</v>
      </c>
      <c r="D35" s="3" t="str">
        <f>"735 / 2013"</f>
        <v>735 / 2013</v>
      </c>
      <c r="E35" s="4">
        <v>41572</v>
      </c>
      <c r="F35" s="5"/>
      <c r="G35" s="5"/>
      <c r="H35" s="3" t="s">
        <v>99</v>
      </c>
      <c r="I35" s="3" t="str">
        <f>"25 / 22-10-2013"</f>
        <v>25 / 22-10-2013</v>
      </c>
      <c r="J35" s="4">
        <v>41569</v>
      </c>
      <c r="K35" s="6">
        <v>0.875</v>
      </c>
      <c r="L35" s="3">
        <v>15</v>
      </c>
      <c r="M35" s="5"/>
      <c r="N35" s="3" t="s">
        <v>53</v>
      </c>
      <c r="O35" s="5"/>
      <c r="P35" s="3" t="s">
        <v>22</v>
      </c>
      <c r="Q35" s="7"/>
      <c r="R35" s="7"/>
    </row>
    <row r="36" spans="1:18" ht="63.75" x14ac:dyDescent="0.25">
      <c r="A36" s="3" t="s">
        <v>18</v>
      </c>
      <c r="B36" s="3">
        <v>2013</v>
      </c>
      <c r="C36" s="3" t="s">
        <v>19</v>
      </c>
      <c r="D36" s="3" t="str">
        <f>"757 / 2012"</f>
        <v>757 / 2012</v>
      </c>
      <c r="E36" s="4">
        <v>41289</v>
      </c>
      <c r="F36" s="3" t="s">
        <v>100</v>
      </c>
      <c r="G36" s="5"/>
      <c r="H36" s="3" t="s">
        <v>101</v>
      </c>
      <c r="I36" s="3" t="str">
        <f>"28 / 21-11-2012"</f>
        <v>28 / 21-11-2012</v>
      </c>
      <c r="J36" s="4">
        <v>41234</v>
      </c>
      <c r="K36" s="6">
        <v>0.79166666666666663</v>
      </c>
      <c r="L36" s="3">
        <v>49</v>
      </c>
      <c r="M36" s="5"/>
      <c r="N36" s="3" t="s">
        <v>102</v>
      </c>
      <c r="O36" s="5"/>
      <c r="P36" s="3" t="s">
        <v>22</v>
      </c>
      <c r="Q36" s="7"/>
      <c r="R36" s="7"/>
    </row>
    <row r="37" spans="1:18" ht="51" x14ac:dyDescent="0.25">
      <c r="A37" s="3" t="s">
        <v>18</v>
      </c>
      <c r="B37" s="3">
        <v>2013</v>
      </c>
      <c r="C37" s="3" t="s">
        <v>19</v>
      </c>
      <c r="D37" s="3" t="str">
        <f>"762 / 2012"</f>
        <v>762 / 2012</v>
      </c>
      <c r="E37" s="4">
        <v>41289</v>
      </c>
      <c r="F37" s="3" t="s">
        <v>103</v>
      </c>
      <c r="G37" s="5"/>
      <c r="H37" s="3" t="s">
        <v>104</v>
      </c>
      <c r="I37" s="3" t="str">
        <f>"28 / 21-11-2012"</f>
        <v>28 / 21-11-2012</v>
      </c>
      <c r="J37" s="4">
        <v>41234</v>
      </c>
      <c r="K37" s="6">
        <v>0.79166666666666663</v>
      </c>
      <c r="L37" s="3">
        <v>49</v>
      </c>
      <c r="M37" s="5"/>
      <c r="N37" s="3" t="s">
        <v>102</v>
      </c>
      <c r="O37" s="5"/>
      <c r="P37" s="3" t="s">
        <v>22</v>
      </c>
      <c r="Q37" s="7"/>
      <c r="R37" s="7"/>
    </row>
    <row r="38" spans="1:18" ht="51" x14ac:dyDescent="0.25">
      <c r="A38" s="3" t="s">
        <v>18</v>
      </c>
      <c r="B38" s="3">
        <v>2013</v>
      </c>
      <c r="C38" s="3" t="s">
        <v>19</v>
      </c>
      <c r="D38" s="3" t="str">
        <f>"763 / 2012"</f>
        <v>763 / 2012</v>
      </c>
      <c r="E38" s="4">
        <v>41283</v>
      </c>
      <c r="F38" s="3" t="s">
        <v>105</v>
      </c>
      <c r="G38" s="5"/>
      <c r="H38" s="3" t="s">
        <v>106</v>
      </c>
      <c r="I38" s="3" t="str">
        <f>"28 / 21-11-2012"</f>
        <v>28 / 21-11-2012</v>
      </c>
      <c r="J38" s="4">
        <v>41234</v>
      </c>
      <c r="K38" s="6">
        <v>0.79166666666666663</v>
      </c>
      <c r="L38" s="3">
        <v>49</v>
      </c>
      <c r="M38" s="5"/>
      <c r="N38" s="3" t="s">
        <v>102</v>
      </c>
      <c r="O38" s="5"/>
      <c r="P38" s="3" t="s">
        <v>22</v>
      </c>
      <c r="Q38" s="7"/>
      <c r="R38" s="7"/>
    </row>
    <row r="39" spans="1:18" ht="76.5" x14ac:dyDescent="0.25">
      <c r="A39" s="3" t="s">
        <v>18</v>
      </c>
      <c r="B39" s="3">
        <v>2013</v>
      </c>
      <c r="C39" s="3" t="s">
        <v>19</v>
      </c>
      <c r="D39" s="3" t="str">
        <f>"764 / 2012"</f>
        <v>764 / 2012</v>
      </c>
      <c r="E39" s="4">
        <v>41276</v>
      </c>
      <c r="F39" s="3" t="s">
        <v>107</v>
      </c>
      <c r="G39" s="5"/>
      <c r="H39" s="3" t="s">
        <v>108</v>
      </c>
      <c r="I39" s="3" t="str">
        <f>"28 / 21-11-2012"</f>
        <v>28 / 21-11-2012</v>
      </c>
      <c r="J39" s="4">
        <v>41234</v>
      </c>
      <c r="K39" s="6">
        <v>0.79166666666666663</v>
      </c>
      <c r="L39" s="3">
        <v>49</v>
      </c>
      <c r="M39" s="5"/>
      <c r="N39" s="3" t="s">
        <v>102</v>
      </c>
      <c r="O39" s="5"/>
      <c r="P39" s="3" t="s">
        <v>22</v>
      </c>
      <c r="Q39" s="7"/>
      <c r="R39" s="7"/>
    </row>
    <row r="40" spans="1:18" ht="76.5" x14ac:dyDescent="0.25">
      <c r="A40" s="3" t="s">
        <v>18</v>
      </c>
      <c r="B40" s="3">
        <v>2013</v>
      </c>
      <c r="C40" s="3" t="s">
        <v>19</v>
      </c>
      <c r="D40" s="3" t="str">
        <f>"778 / 2012"</f>
        <v>778 / 2012</v>
      </c>
      <c r="E40" s="4">
        <v>41332</v>
      </c>
      <c r="F40" s="3" t="s">
        <v>109</v>
      </c>
      <c r="G40" s="5"/>
      <c r="H40" s="3" t="s">
        <v>110</v>
      </c>
      <c r="I40" s="3" t="str">
        <f>"29 / 05-12-2012"</f>
        <v>29 / 05-12-2012</v>
      </c>
      <c r="J40" s="4">
        <v>41248</v>
      </c>
      <c r="K40" s="6">
        <v>0.79166666666666663</v>
      </c>
      <c r="L40" s="3">
        <v>2</v>
      </c>
      <c r="M40" s="5"/>
      <c r="N40" s="3" t="s">
        <v>111</v>
      </c>
      <c r="O40" s="5"/>
      <c r="P40" s="3" t="s">
        <v>22</v>
      </c>
      <c r="Q40" s="7"/>
      <c r="R40" s="7"/>
    </row>
    <row r="41" spans="1:18" ht="102" x14ac:dyDescent="0.25">
      <c r="A41" s="3" t="s">
        <v>18</v>
      </c>
      <c r="B41" s="3">
        <v>2013</v>
      </c>
      <c r="C41" s="3" t="s">
        <v>19</v>
      </c>
      <c r="D41" s="3" t="str">
        <f>"8/2013"</f>
        <v>8/2013</v>
      </c>
      <c r="E41" s="4">
        <v>41305</v>
      </c>
      <c r="F41" s="3" t="s">
        <v>112</v>
      </c>
      <c r="G41" s="5"/>
      <c r="H41" s="3" t="s">
        <v>113</v>
      </c>
      <c r="I41" s="3" t="str">
        <f>"3/23-1-2013"</f>
        <v>3/23-1-2013</v>
      </c>
      <c r="J41" s="4">
        <v>41297</v>
      </c>
      <c r="K41" s="6">
        <v>0.8125</v>
      </c>
      <c r="L41" s="5"/>
      <c r="M41" s="3" t="s">
        <v>25</v>
      </c>
      <c r="N41" s="3" t="s">
        <v>25</v>
      </c>
      <c r="O41" s="5"/>
      <c r="P41" s="3" t="s">
        <v>114</v>
      </c>
      <c r="Q41" s="7"/>
      <c r="R41" s="7"/>
    </row>
    <row r="42" spans="1:18" ht="114.75" x14ac:dyDescent="0.25">
      <c r="A42" s="3" t="s">
        <v>18</v>
      </c>
      <c r="B42" s="3">
        <v>2013</v>
      </c>
      <c r="C42" s="3" t="s">
        <v>19</v>
      </c>
      <c r="D42" s="3" t="str">
        <f>"821 / 2013"</f>
        <v>821 / 2013</v>
      </c>
      <c r="E42" s="4">
        <v>41611</v>
      </c>
      <c r="F42" s="5"/>
      <c r="G42" s="5"/>
      <c r="H42" s="3" t="s">
        <v>115</v>
      </c>
      <c r="I42" s="3" t="str">
        <f>"30 / 27-11-2013"</f>
        <v>30 / 27-11-2013</v>
      </c>
      <c r="J42" s="4">
        <v>41605</v>
      </c>
      <c r="K42" s="6">
        <v>0.79166666666666663</v>
      </c>
      <c r="L42" s="3">
        <v>14</v>
      </c>
      <c r="M42" s="5"/>
      <c r="N42" s="3" t="s">
        <v>47</v>
      </c>
      <c r="O42" s="5"/>
      <c r="P42" s="3" t="s">
        <v>22</v>
      </c>
      <c r="Q42" s="7"/>
      <c r="R42" s="7"/>
    </row>
    <row r="43" spans="1:18" ht="51" x14ac:dyDescent="0.25">
      <c r="A43" s="3" t="s">
        <v>18</v>
      </c>
      <c r="B43" s="3">
        <v>2013</v>
      </c>
      <c r="C43" s="3" t="s">
        <v>19</v>
      </c>
      <c r="D43" s="3" t="str">
        <f>"828 / 2012"</f>
        <v>828 / 2012</v>
      </c>
      <c r="E43" s="4">
        <v>41284</v>
      </c>
      <c r="F43" s="3" t="s">
        <v>116</v>
      </c>
      <c r="G43" s="5"/>
      <c r="H43" s="3" t="s">
        <v>117</v>
      </c>
      <c r="I43" s="3" t="str">
        <f>"31 / 19-12-2012"</f>
        <v>31 / 19-12-2012</v>
      </c>
      <c r="J43" s="4">
        <v>41262</v>
      </c>
      <c r="K43" s="6">
        <v>0.83333333333333337</v>
      </c>
      <c r="L43" s="3">
        <v>1</v>
      </c>
      <c r="M43" s="3" t="s">
        <v>118</v>
      </c>
      <c r="N43" s="3" t="s">
        <v>119</v>
      </c>
      <c r="O43" s="5"/>
      <c r="P43" s="3" t="s">
        <v>22</v>
      </c>
      <c r="Q43" s="7"/>
      <c r="R43" s="7"/>
    </row>
    <row r="44" spans="1:18" ht="51" x14ac:dyDescent="0.25">
      <c r="A44" s="3" t="s">
        <v>18</v>
      </c>
      <c r="B44" s="3">
        <v>2013</v>
      </c>
      <c r="C44" s="3" t="s">
        <v>19</v>
      </c>
      <c r="D44" s="3" t="str">
        <f>"838 / 2012"</f>
        <v>838 / 2012</v>
      </c>
      <c r="E44" s="4">
        <v>41617</v>
      </c>
      <c r="F44" s="3" t="s">
        <v>120</v>
      </c>
      <c r="G44" s="5"/>
      <c r="H44" s="3" t="s">
        <v>121</v>
      </c>
      <c r="I44" s="3" t="str">
        <f>"31 / 19-12-2012"</f>
        <v>31 / 19-12-2012</v>
      </c>
      <c r="J44" s="4">
        <v>41262</v>
      </c>
      <c r="K44" s="6">
        <v>0.83333333333333337</v>
      </c>
      <c r="L44" s="3">
        <v>7</v>
      </c>
      <c r="M44" s="3" t="s">
        <v>122</v>
      </c>
      <c r="N44" s="3" t="s">
        <v>123</v>
      </c>
      <c r="O44" s="5"/>
      <c r="P44" s="3" t="s">
        <v>22</v>
      </c>
      <c r="Q44" s="7"/>
      <c r="R44" s="7"/>
    </row>
    <row r="45" spans="1:18" ht="51" x14ac:dyDescent="0.25">
      <c r="A45" s="3" t="s">
        <v>18</v>
      </c>
      <c r="B45" s="3">
        <v>2013</v>
      </c>
      <c r="C45" s="3" t="s">
        <v>19</v>
      </c>
      <c r="D45" s="3" t="str">
        <f>"846 / 2012"</f>
        <v>846 / 2012</v>
      </c>
      <c r="E45" s="4">
        <v>41290</v>
      </c>
      <c r="F45" s="3" t="s">
        <v>124</v>
      </c>
      <c r="G45" s="5"/>
      <c r="H45" s="3" t="s">
        <v>125</v>
      </c>
      <c r="I45" s="3" t="str">
        <f>"31 / 19-12-2012"</f>
        <v>31 / 19-12-2012</v>
      </c>
      <c r="J45" s="4">
        <v>41262</v>
      </c>
      <c r="K45" s="6">
        <v>0.83333333333333337</v>
      </c>
      <c r="L45" s="3">
        <v>13</v>
      </c>
      <c r="M45" s="5"/>
      <c r="N45" s="3" t="s">
        <v>126</v>
      </c>
      <c r="O45" s="5"/>
      <c r="P45" s="3" t="s">
        <v>22</v>
      </c>
      <c r="Q45" s="7"/>
      <c r="R45" s="7"/>
    </row>
    <row r="46" spans="1:18" ht="51" x14ac:dyDescent="0.25">
      <c r="A46" s="3" t="s">
        <v>18</v>
      </c>
      <c r="B46" s="3">
        <v>2013</v>
      </c>
      <c r="C46" s="3" t="s">
        <v>19</v>
      </c>
      <c r="D46" s="3" t="str">
        <f>"9/2013"</f>
        <v>9/2013</v>
      </c>
      <c r="E46" s="4">
        <v>41299</v>
      </c>
      <c r="F46" s="3" t="s">
        <v>127</v>
      </c>
      <c r="G46" s="5"/>
      <c r="H46" s="3" t="s">
        <v>128</v>
      </c>
      <c r="I46" s="3" t="str">
        <f>"3/23-1-2013"</f>
        <v>3/23-1-2013</v>
      </c>
      <c r="J46" s="4">
        <v>41297</v>
      </c>
      <c r="K46" s="6">
        <v>0.8125</v>
      </c>
      <c r="L46" s="3">
        <v>2</v>
      </c>
      <c r="M46" s="5"/>
      <c r="N46" s="3" t="s">
        <v>129</v>
      </c>
      <c r="O46" s="5"/>
      <c r="P46" s="3" t="s">
        <v>22</v>
      </c>
      <c r="Q46" s="7"/>
      <c r="R46" s="7"/>
    </row>
    <row r="47" spans="1:18" ht="63.75" x14ac:dyDescent="0.25">
      <c r="A47" s="3" t="s">
        <v>18</v>
      </c>
      <c r="B47" s="3">
        <v>2013</v>
      </c>
      <c r="C47" s="3" t="s">
        <v>19</v>
      </c>
      <c r="D47" s="3" t="str">
        <f>"918 / 2013"</f>
        <v>918 / 2013</v>
      </c>
      <c r="E47" s="4">
        <v>41638</v>
      </c>
      <c r="F47" s="3" t="s">
        <v>130</v>
      </c>
      <c r="G47" s="5"/>
      <c r="H47" s="3" t="s">
        <v>131</v>
      </c>
      <c r="I47" s="3" t="str">
        <f t="shared" ref="I47:I52" si="0">"32 / 18-12-2013"</f>
        <v>32 / 18-12-2013</v>
      </c>
      <c r="J47" s="4">
        <v>41626</v>
      </c>
      <c r="K47" s="6">
        <v>0.83333333333333337</v>
      </c>
      <c r="L47" s="3">
        <v>35</v>
      </c>
      <c r="M47" s="3" t="s">
        <v>132</v>
      </c>
      <c r="N47" s="3" t="s">
        <v>132</v>
      </c>
      <c r="O47" s="5"/>
      <c r="P47" s="3" t="s">
        <v>22</v>
      </c>
      <c r="Q47" s="7"/>
      <c r="R47" s="7"/>
    </row>
    <row r="48" spans="1:18" ht="63.75" x14ac:dyDescent="0.25">
      <c r="A48" s="3" t="s">
        <v>18</v>
      </c>
      <c r="B48" s="3">
        <v>2013</v>
      </c>
      <c r="C48" s="3" t="s">
        <v>19</v>
      </c>
      <c r="D48" s="3" t="str">
        <f>"919 / 2013"</f>
        <v>919 / 2013</v>
      </c>
      <c r="E48" s="4">
        <v>41638</v>
      </c>
      <c r="F48" s="3" t="s">
        <v>133</v>
      </c>
      <c r="G48" s="5"/>
      <c r="H48" s="3" t="s">
        <v>134</v>
      </c>
      <c r="I48" s="3" t="str">
        <f t="shared" si="0"/>
        <v>32 / 18-12-2013</v>
      </c>
      <c r="J48" s="4">
        <v>41626</v>
      </c>
      <c r="K48" s="6">
        <v>0.83333333333333337</v>
      </c>
      <c r="L48" s="3">
        <v>35</v>
      </c>
      <c r="M48" s="3" t="s">
        <v>132</v>
      </c>
      <c r="N48" s="3" t="s">
        <v>132</v>
      </c>
      <c r="O48" s="5"/>
      <c r="P48" s="3" t="s">
        <v>22</v>
      </c>
      <c r="Q48" s="7"/>
      <c r="R48" s="7"/>
    </row>
    <row r="49" spans="1:18" ht="63.75" x14ac:dyDescent="0.25">
      <c r="A49" s="3" t="s">
        <v>18</v>
      </c>
      <c r="B49" s="3">
        <v>2013</v>
      </c>
      <c r="C49" s="3" t="s">
        <v>19</v>
      </c>
      <c r="D49" s="3" t="str">
        <f>"920 / 2013"</f>
        <v>920 / 2013</v>
      </c>
      <c r="E49" s="4">
        <v>41628</v>
      </c>
      <c r="F49" s="3" t="s">
        <v>135</v>
      </c>
      <c r="G49" s="5"/>
      <c r="H49" s="3" t="s">
        <v>136</v>
      </c>
      <c r="I49" s="3" t="str">
        <f t="shared" si="0"/>
        <v>32 / 18-12-2013</v>
      </c>
      <c r="J49" s="4">
        <v>41626</v>
      </c>
      <c r="K49" s="6">
        <v>0.83333333333333337</v>
      </c>
      <c r="L49" s="3">
        <v>35</v>
      </c>
      <c r="M49" s="3" t="s">
        <v>132</v>
      </c>
      <c r="N49" s="3" t="s">
        <v>132</v>
      </c>
      <c r="O49" s="5"/>
      <c r="P49" s="3" t="s">
        <v>22</v>
      </c>
      <c r="Q49" s="7"/>
      <c r="R49" s="7"/>
    </row>
    <row r="50" spans="1:18" ht="38.25" x14ac:dyDescent="0.25">
      <c r="A50" s="3" t="s">
        <v>18</v>
      </c>
      <c r="B50" s="3">
        <v>2013</v>
      </c>
      <c r="C50" s="3" t="s">
        <v>19</v>
      </c>
      <c r="D50" s="3" t="str">
        <f>"922 / 2013"</f>
        <v>922 / 2013</v>
      </c>
      <c r="E50" s="4">
        <v>41627</v>
      </c>
      <c r="F50" s="3" t="s">
        <v>137</v>
      </c>
      <c r="G50" s="5"/>
      <c r="H50" s="3" t="s">
        <v>138</v>
      </c>
      <c r="I50" s="3" t="str">
        <f t="shared" si="0"/>
        <v>32 / 18-12-2013</v>
      </c>
      <c r="J50" s="4">
        <v>41626</v>
      </c>
      <c r="K50" s="6">
        <v>0.83333333333333337</v>
      </c>
      <c r="L50" s="5"/>
      <c r="M50" s="3" t="s">
        <v>139</v>
      </c>
      <c r="N50" s="3" t="s">
        <v>139</v>
      </c>
      <c r="O50" s="5"/>
      <c r="P50" s="3" t="s">
        <v>74</v>
      </c>
      <c r="Q50" s="7"/>
      <c r="R50" s="7"/>
    </row>
    <row r="51" spans="1:18" ht="76.5" x14ac:dyDescent="0.25">
      <c r="A51" s="3" t="s">
        <v>18</v>
      </c>
      <c r="B51" s="3">
        <v>2013</v>
      </c>
      <c r="C51" s="3" t="s">
        <v>19</v>
      </c>
      <c r="D51" s="3" t="str">
        <f>"923 / 2013"</f>
        <v>923 / 2013</v>
      </c>
      <c r="E51" s="4">
        <v>41628</v>
      </c>
      <c r="F51" s="3" t="s">
        <v>140</v>
      </c>
      <c r="G51" s="5"/>
      <c r="H51" s="3" t="s">
        <v>141</v>
      </c>
      <c r="I51" s="3" t="str">
        <f t="shared" si="0"/>
        <v>32 / 18-12-2013</v>
      </c>
      <c r="J51" s="4">
        <v>41626</v>
      </c>
      <c r="K51" s="6">
        <v>0.83333333333333337</v>
      </c>
      <c r="L51" s="5"/>
      <c r="M51" s="3" t="s">
        <v>50</v>
      </c>
      <c r="N51" s="3" t="s">
        <v>50</v>
      </c>
      <c r="O51" s="5"/>
      <c r="P51" s="3" t="s">
        <v>74</v>
      </c>
      <c r="Q51" s="7"/>
      <c r="R51" s="7"/>
    </row>
    <row r="52" spans="1:18" ht="102" x14ac:dyDescent="0.25">
      <c r="A52" s="3" t="s">
        <v>18</v>
      </c>
      <c r="B52" s="3">
        <v>2013</v>
      </c>
      <c r="C52" s="3" t="s">
        <v>19</v>
      </c>
      <c r="D52" s="3" t="str">
        <f>"924 / 2013"</f>
        <v>924 / 2013</v>
      </c>
      <c r="E52" s="4">
        <v>41628</v>
      </c>
      <c r="F52" s="3" t="s">
        <v>142</v>
      </c>
      <c r="G52" s="5"/>
      <c r="H52" s="3" t="s">
        <v>143</v>
      </c>
      <c r="I52" s="3" t="str">
        <f t="shared" si="0"/>
        <v>32 / 18-12-2013</v>
      </c>
      <c r="J52" s="4">
        <v>41626</v>
      </c>
      <c r="K52" s="6">
        <v>0.83333333333333337</v>
      </c>
      <c r="L52" s="5"/>
      <c r="M52" s="3" t="s">
        <v>144</v>
      </c>
      <c r="N52" s="3" t="s">
        <v>144</v>
      </c>
      <c r="O52" s="5"/>
      <c r="P52" s="3" t="s">
        <v>74</v>
      </c>
      <c r="Q52" s="7"/>
      <c r="R52" s="7"/>
    </row>
    <row r="53" spans="1:18" ht="51" x14ac:dyDescent="0.25">
      <c r="A53" s="3" t="s">
        <v>18</v>
      </c>
      <c r="B53" s="3">
        <v>2013</v>
      </c>
      <c r="C53" s="3" t="s">
        <v>19</v>
      </c>
      <c r="D53" s="3" t="str">
        <f>"1/2013"</f>
        <v>1/2013</v>
      </c>
      <c r="E53" s="4">
        <v>41280</v>
      </c>
      <c r="F53" s="3" t="s">
        <v>145</v>
      </c>
      <c r="G53" s="5"/>
      <c r="H53" s="3" t="s">
        <v>146</v>
      </c>
      <c r="I53" s="3" t="str">
        <f>"1/6-1-2013"</f>
        <v>1/6-1-2013</v>
      </c>
      <c r="J53" s="4">
        <v>41280</v>
      </c>
      <c r="K53" s="6">
        <v>0.75</v>
      </c>
      <c r="L53" s="3">
        <v>1</v>
      </c>
      <c r="M53" s="3" t="s">
        <v>25</v>
      </c>
      <c r="N53" s="3" t="s">
        <v>25</v>
      </c>
      <c r="O53" s="5"/>
      <c r="P53" s="3" t="s">
        <v>22</v>
      </c>
      <c r="Q53" s="7"/>
      <c r="R53" s="7"/>
    </row>
    <row r="54" spans="1:18" ht="127.5" x14ac:dyDescent="0.25">
      <c r="A54" s="3" t="s">
        <v>18</v>
      </c>
      <c r="B54" s="3">
        <v>2013</v>
      </c>
      <c r="C54" s="3" t="s">
        <v>19</v>
      </c>
      <c r="D54" s="3" t="str">
        <f>"100/2013"</f>
        <v>100/2013</v>
      </c>
      <c r="E54" s="4">
        <v>41345</v>
      </c>
      <c r="F54" s="3" t="s">
        <v>147</v>
      </c>
      <c r="G54" s="5"/>
      <c r="H54" s="3" t="s">
        <v>148</v>
      </c>
      <c r="I54" s="3" t="str">
        <f t="shared" ref="I54:I88" si="1">"6/06-03-2013"</f>
        <v>6/06-03-2013</v>
      </c>
      <c r="J54" s="4">
        <v>41339</v>
      </c>
      <c r="K54" s="6">
        <v>0.79166666666666663</v>
      </c>
      <c r="L54" s="3">
        <v>11</v>
      </c>
      <c r="M54" s="3" t="s">
        <v>149</v>
      </c>
      <c r="N54" s="3" t="s">
        <v>149</v>
      </c>
      <c r="O54" s="5"/>
      <c r="P54" s="3" t="s">
        <v>22</v>
      </c>
      <c r="Q54" s="7"/>
      <c r="R54" s="7"/>
    </row>
    <row r="55" spans="1:18" ht="89.25" x14ac:dyDescent="0.25">
      <c r="A55" s="3" t="s">
        <v>18</v>
      </c>
      <c r="B55" s="3">
        <v>2013</v>
      </c>
      <c r="C55" s="3" t="s">
        <v>19</v>
      </c>
      <c r="D55" s="3" t="str">
        <f>"101/2013"</f>
        <v>101/2013</v>
      </c>
      <c r="E55" s="4">
        <v>41345</v>
      </c>
      <c r="F55" s="3" t="s">
        <v>150</v>
      </c>
      <c r="G55" s="5"/>
      <c r="H55" s="3" t="s">
        <v>151</v>
      </c>
      <c r="I55" s="3" t="str">
        <f t="shared" si="1"/>
        <v>6/06-03-2013</v>
      </c>
      <c r="J55" s="4">
        <v>41339</v>
      </c>
      <c r="K55" s="6">
        <v>0.79166666666666663</v>
      </c>
      <c r="L55" s="3">
        <v>11</v>
      </c>
      <c r="M55" s="3" t="s">
        <v>149</v>
      </c>
      <c r="N55" s="3" t="s">
        <v>149</v>
      </c>
      <c r="O55" s="5"/>
      <c r="P55" s="3" t="s">
        <v>22</v>
      </c>
      <c r="Q55" s="7"/>
      <c r="R55" s="7"/>
    </row>
    <row r="56" spans="1:18" ht="89.25" x14ac:dyDescent="0.25">
      <c r="A56" s="3" t="s">
        <v>18</v>
      </c>
      <c r="B56" s="3">
        <v>2013</v>
      </c>
      <c r="C56" s="3" t="s">
        <v>19</v>
      </c>
      <c r="D56" s="3" t="str">
        <f>"102/2013"</f>
        <v>102/2013</v>
      </c>
      <c r="E56" s="4">
        <v>41345</v>
      </c>
      <c r="F56" s="3" t="s">
        <v>152</v>
      </c>
      <c r="G56" s="5"/>
      <c r="H56" s="3" t="s">
        <v>153</v>
      </c>
      <c r="I56" s="3" t="str">
        <f t="shared" si="1"/>
        <v>6/06-03-2013</v>
      </c>
      <c r="J56" s="4">
        <v>41339</v>
      </c>
      <c r="K56" s="6">
        <v>0.79166666666666663</v>
      </c>
      <c r="L56" s="3">
        <v>11</v>
      </c>
      <c r="M56" s="3" t="s">
        <v>149</v>
      </c>
      <c r="N56" s="3" t="s">
        <v>149</v>
      </c>
      <c r="O56" s="5"/>
      <c r="P56" s="3" t="s">
        <v>22</v>
      </c>
      <c r="Q56" s="7"/>
      <c r="R56" s="7"/>
    </row>
    <row r="57" spans="1:18" ht="102" x14ac:dyDescent="0.25">
      <c r="A57" s="3" t="s">
        <v>18</v>
      </c>
      <c r="B57" s="3">
        <v>2013</v>
      </c>
      <c r="C57" s="3" t="s">
        <v>19</v>
      </c>
      <c r="D57" s="3" t="str">
        <f>"103/2013"</f>
        <v>103/2013</v>
      </c>
      <c r="E57" s="4">
        <v>41345</v>
      </c>
      <c r="F57" s="3" t="s">
        <v>154</v>
      </c>
      <c r="G57" s="5"/>
      <c r="H57" s="3" t="s">
        <v>155</v>
      </c>
      <c r="I57" s="3" t="str">
        <f t="shared" si="1"/>
        <v>6/06-03-2013</v>
      </c>
      <c r="J57" s="4">
        <v>41339</v>
      </c>
      <c r="K57" s="6">
        <v>0.79166666666666663</v>
      </c>
      <c r="L57" s="3">
        <v>11</v>
      </c>
      <c r="M57" s="3" t="s">
        <v>149</v>
      </c>
      <c r="N57" s="3" t="s">
        <v>149</v>
      </c>
      <c r="O57" s="5"/>
      <c r="P57" s="3" t="s">
        <v>22</v>
      </c>
      <c r="Q57" s="7"/>
      <c r="R57" s="7"/>
    </row>
    <row r="58" spans="1:18" ht="127.5" x14ac:dyDescent="0.25">
      <c r="A58" s="3" t="s">
        <v>18</v>
      </c>
      <c r="B58" s="3">
        <v>2013</v>
      </c>
      <c r="C58" s="3" t="s">
        <v>19</v>
      </c>
      <c r="D58" s="3" t="str">
        <f>"104/2013"</f>
        <v>104/2013</v>
      </c>
      <c r="E58" s="4">
        <v>41348</v>
      </c>
      <c r="F58" s="3" t="s">
        <v>156</v>
      </c>
      <c r="G58" s="5"/>
      <c r="H58" s="3" t="s">
        <v>157</v>
      </c>
      <c r="I58" s="3" t="str">
        <f t="shared" si="1"/>
        <v>6/06-03-2013</v>
      </c>
      <c r="J58" s="4">
        <v>41339</v>
      </c>
      <c r="K58" s="6">
        <v>0.79166666666666663</v>
      </c>
      <c r="L58" s="3">
        <v>11</v>
      </c>
      <c r="M58" s="3" t="s">
        <v>149</v>
      </c>
      <c r="N58" s="3" t="s">
        <v>149</v>
      </c>
      <c r="O58" s="5"/>
      <c r="P58" s="3" t="s">
        <v>22</v>
      </c>
      <c r="Q58" s="7"/>
      <c r="R58" s="7"/>
    </row>
    <row r="59" spans="1:18" ht="89.25" x14ac:dyDescent="0.25">
      <c r="A59" s="3" t="s">
        <v>18</v>
      </c>
      <c r="B59" s="3">
        <v>2013</v>
      </c>
      <c r="C59" s="3" t="s">
        <v>19</v>
      </c>
      <c r="D59" s="3" t="str">
        <f>"105/2013"</f>
        <v>105/2013</v>
      </c>
      <c r="E59" s="4">
        <v>41345</v>
      </c>
      <c r="F59" s="3" t="s">
        <v>158</v>
      </c>
      <c r="G59" s="5"/>
      <c r="H59" s="3" t="s">
        <v>159</v>
      </c>
      <c r="I59" s="3" t="str">
        <f t="shared" si="1"/>
        <v>6/06-03-2013</v>
      </c>
      <c r="J59" s="4">
        <v>41339</v>
      </c>
      <c r="K59" s="6">
        <v>0.79166666666666663</v>
      </c>
      <c r="L59" s="3">
        <v>11</v>
      </c>
      <c r="M59" s="3" t="s">
        <v>149</v>
      </c>
      <c r="N59" s="3" t="s">
        <v>149</v>
      </c>
      <c r="O59" s="5"/>
      <c r="P59" s="3" t="s">
        <v>22</v>
      </c>
      <c r="Q59" s="7"/>
      <c r="R59" s="7"/>
    </row>
    <row r="60" spans="1:18" ht="89.25" x14ac:dyDescent="0.25">
      <c r="A60" s="3" t="s">
        <v>18</v>
      </c>
      <c r="B60" s="3">
        <v>2013</v>
      </c>
      <c r="C60" s="3" t="s">
        <v>19</v>
      </c>
      <c r="D60" s="3" t="str">
        <f>"106/2013"</f>
        <v>106/2013</v>
      </c>
      <c r="E60" s="4">
        <v>41347</v>
      </c>
      <c r="F60" s="3" t="s">
        <v>160</v>
      </c>
      <c r="G60" s="5"/>
      <c r="H60" s="3" t="s">
        <v>161</v>
      </c>
      <c r="I60" s="3" t="str">
        <f t="shared" si="1"/>
        <v>6/06-03-2013</v>
      </c>
      <c r="J60" s="4">
        <v>41339</v>
      </c>
      <c r="K60" s="6">
        <v>0.79166666666666663</v>
      </c>
      <c r="L60" s="3">
        <v>12</v>
      </c>
      <c r="M60" s="3" t="s">
        <v>162</v>
      </c>
      <c r="N60" s="3" t="s">
        <v>162</v>
      </c>
      <c r="O60" s="5"/>
      <c r="P60" s="3" t="s">
        <v>22</v>
      </c>
      <c r="Q60" s="7"/>
      <c r="R60" s="7"/>
    </row>
    <row r="61" spans="1:18" ht="89.25" x14ac:dyDescent="0.25">
      <c r="A61" s="3" t="s">
        <v>18</v>
      </c>
      <c r="B61" s="3">
        <v>2013</v>
      </c>
      <c r="C61" s="3" t="s">
        <v>19</v>
      </c>
      <c r="D61" s="3" t="str">
        <f>"107/2013"</f>
        <v>107/2013</v>
      </c>
      <c r="E61" s="4">
        <v>41347</v>
      </c>
      <c r="F61" s="3" t="s">
        <v>163</v>
      </c>
      <c r="G61" s="5"/>
      <c r="H61" s="3" t="s">
        <v>164</v>
      </c>
      <c r="I61" s="3" t="str">
        <f t="shared" si="1"/>
        <v>6/06-03-2013</v>
      </c>
      <c r="J61" s="4">
        <v>41339</v>
      </c>
      <c r="K61" s="6">
        <v>0.79166666666666663</v>
      </c>
      <c r="L61" s="3">
        <v>12</v>
      </c>
      <c r="M61" s="3" t="s">
        <v>162</v>
      </c>
      <c r="N61" s="3" t="s">
        <v>162</v>
      </c>
      <c r="O61" s="5"/>
      <c r="P61" s="3" t="s">
        <v>22</v>
      </c>
      <c r="Q61" s="7"/>
      <c r="R61" s="7"/>
    </row>
    <row r="62" spans="1:18" ht="89.25" x14ac:dyDescent="0.25">
      <c r="A62" s="3" t="s">
        <v>18</v>
      </c>
      <c r="B62" s="3">
        <v>2013</v>
      </c>
      <c r="C62" s="3" t="s">
        <v>19</v>
      </c>
      <c r="D62" s="3" t="str">
        <f>"108/2013"</f>
        <v>108/2013</v>
      </c>
      <c r="E62" s="4">
        <v>41347</v>
      </c>
      <c r="F62" s="3" t="s">
        <v>165</v>
      </c>
      <c r="G62" s="5"/>
      <c r="H62" s="3" t="s">
        <v>166</v>
      </c>
      <c r="I62" s="3" t="str">
        <f t="shared" si="1"/>
        <v>6/06-03-2013</v>
      </c>
      <c r="J62" s="4">
        <v>41339</v>
      </c>
      <c r="K62" s="6">
        <v>0.79166666666666663</v>
      </c>
      <c r="L62" s="3">
        <v>12</v>
      </c>
      <c r="M62" s="3" t="s">
        <v>162</v>
      </c>
      <c r="N62" s="3" t="s">
        <v>162</v>
      </c>
      <c r="O62" s="5"/>
      <c r="P62" s="3" t="s">
        <v>22</v>
      </c>
      <c r="Q62" s="7"/>
      <c r="R62" s="7"/>
    </row>
    <row r="63" spans="1:18" ht="76.5" x14ac:dyDescent="0.25">
      <c r="A63" s="3" t="s">
        <v>18</v>
      </c>
      <c r="B63" s="3">
        <v>2013</v>
      </c>
      <c r="C63" s="3" t="s">
        <v>19</v>
      </c>
      <c r="D63" s="3" t="str">
        <f>"109/2013"</f>
        <v>109/2013</v>
      </c>
      <c r="E63" s="4">
        <v>41362</v>
      </c>
      <c r="F63" s="3" t="s">
        <v>27</v>
      </c>
      <c r="G63" s="5"/>
      <c r="H63" s="3" t="s">
        <v>167</v>
      </c>
      <c r="I63" s="3" t="str">
        <f t="shared" si="1"/>
        <v>6/06-03-2013</v>
      </c>
      <c r="J63" s="4">
        <v>41339</v>
      </c>
      <c r="K63" s="6">
        <v>0.79166666666666663</v>
      </c>
      <c r="L63" s="3">
        <v>13</v>
      </c>
      <c r="M63" s="3" t="s">
        <v>168</v>
      </c>
      <c r="N63" s="3" t="s">
        <v>168</v>
      </c>
      <c r="O63" s="5"/>
      <c r="P63" s="3" t="s">
        <v>22</v>
      </c>
      <c r="Q63" s="7"/>
      <c r="R63" s="7"/>
    </row>
    <row r="64" spans="1:18" ht="63.75" x14ac:dyDescent="0.25">
      <c r="A64" s="3" t="s">
        <v>18</v>
      </c>
      <c r="B64" s="3">
        <v>2013</v>
      </c>
      <c r="C64" s="3" t="s">
        <v>19</v>
      </c>
      <c r="D64" s="3" t="str">
        <f>"110/2013"</f>
        <v>110/2013</v>
      </c>
      <c r="E64" s="4">
        <v>41354</v>
      </c>
      <c r="F64" s="3" t="s">
        <v>169</v>
      </c>
      <c r="G64" s="5"/>
      <c r="H64" s="3" t="s">
        <v>170</v>
      </c>
      <c r="I64" s="3" t="str">
        <f t="shared" si="1"/>
        <v>6/06-03-2013</v>
      </c>
      <c r="J64" s="4">
        <v>41339</v>
      </c>
      <c r="K64" s="6">
        <v>0.79166666666666663</v>
      </c>
      <c r="L64" s="3">
        <v>14</v>
      </c>
      <c r="M64" s="3" t="s">
        <v>171</v>
      </c>
      <c r="N64" s="3" t="s">
        <v>171</v>
      </c>
      <c r="O64" s="5"/>
      <c r="P64" s="3" t="s">
        <v>22</v>
      </c>
      <c r="Q64" s="7"/>
      <c r="R64" s="7"/>
    </row>
    <row r="65" spans="1:18" ht="76.5" x14ac:dyDescent="0.25">
      <c r="A65" s="3" t="s">
        <v>18</v>
      </c>
      <c r="B65" s="3">
        <v>2013</v>
      </c>
      <c r="C65" s="3" t="s">
        <v>19</v>
      </c>
      <c r="D65" s="3" t="str">
        <f>"111/2013"</f>
        <v>111/2013</v>
      </c>
      <c r="E65" s="4">
        <v>41360</v>
      </c>
      <c r="F65" s="3" t="s">
        <v>33</v>
      </c>
      <c r="G65" s="5"/>
      <c r="H65" s="3" t="s">
        <v>172</v>
      </c>
      <c r="I65" s="3" t="str">
        <f t="shared" si="1"/>
        <v>6/06-03-2013</v>
      </c>
      <c r="J65" s="4">
        <v>41339</v>
      </c>
      <c r="K65" s="6">
        <v>0.79166666666666663</v>
      </c>
      <c r="L65" s="3">
        <v>15</v>
      </c>
      <c r="M65" s="3" t="s">
        <v>173</v>
      </c>
      <c r="N65" s="3" t="s">
        <v>173</v>
      </c>
      <c r="O65" s="5"/>
      <c r="P65" s="3" t="s">
        <v>22</v>
      </c>
      <c r="Q65" s="7"/>
      <c r="R65" s="7"/>
    </row>
    <row r="66" spans="1:18" ht="76.5" x14ac:dyDescent="0.25">
      <c r="A66" s="3" t="s">
        <v>18</v>
      </c>
      <c r="B66" s="3">
        <v>2013</v>
      </c>
      <c r="C66" s="3" t="s">
        <v>19</v>
      </c>
      <c r="D66" s="3" t="str">
        <f>"112/2013"</f>
        <v>112/2013</v>
      </c>
      <c r="E66" s="4">
        <v>41345</v>
      </c>
      <c r="F66" s="3" t="s">
        <v>174</v>
      </c>
      <c r="G66" s="5"/>
      <c r="H66" s="3" t="s">
        <v>175</v>
      </c>
      <c r="I66" s="3" t="str">
        <f t="shared" si="1"/>
        <v>6/06-03-2013</v>
      </c>
      <c r="J66" s="4">
        <v>41339</v>
      </c>
      <c r="K66" s="6">
        <v>0.79166666666666663</v>
      </c>
      <c r="L66" s="3">
        <v>16</v>
      </c>
      <c r="M66" s="3" t="s">
        <v>168</v>
      </c>
      <c r="N66" s="3" t="s">
        <v>168</v>
      </c>
      <c r="O66" s="5"/>
      <c r="P66" s="3" t="s">
        <v>22</v>
      </c>
      <c r="Q66" s="7"/>
      <c r="R66" s="7"/>
    </row>
    <row r="67" spans="1:18" ht="63.75" x14ac:dyDescent="0.25">
      <c r="A67" s="3" t="s">
        <v>18</v>
      </c>
      <c r="B67" s="3">
        <v>2013</v>
      </c>
      <c r="C67" s="3" t="s">
        <v>19</v>
      </c>
      <c r="D67" s="3" t="str">
        <f>"113/2013"</f>
        <v>113/2013</v>
      </c>
      <c r="E67" s="4">
        <v>41345</v>
      </c>
      <c r="F67" s="3" t="s">
        <v>176</v>
      </c>
      <c r="G67" s="5"/>
      <c r="H67" s="3" t="s">
        <v>177</v>
      </c>
      <c r="I67" s="3" t="str">
        <f t="shared" si="1"/>
        <v>6/06-03-2013</v>
      </c>
      <c r="J67" s="4">
        <v>41339</v>
      </c>
      <c r="K67" s="6">
        <v>0.79166666666666663</v>
      </c>
      <c r="L67" s="3">
        <v>18</v>
      </c>
      <c r="M67" s="3" t="s">
        <v>178</v>
      </c>
      <c r="N67" s="3" t="s">
        <v>178</v>
      </c>
      <c r="O67" s="5"/>
      <c r="P67" s="3" t="s">
        <v>22</v>
      </c>
      <c r="Q67" s="7"/>
      <c r="R67" s="7"/>
    </row>
    <row r="68" spans="1:18" ht="51" x14ac:dyDescent="0.25">
      <c r="A68" s="3" t="s">
        <v>18</v>
      </c>
      <c r="B68" s="3">
        <v>2013</v>
      </c>
      <c r="C68" s="3" t="s">
        <v>19</v>
      </c>
      <c r="D68" s="3" t="str">
        <f>"114/2013"</f>
        <v>114/2013</v>
      </c>
      <c r="E68" s="4">
        <v>41344</v>
      </c>
      <c r="F68" s="3" t="s">
        <v>179</v>
      </c>
      <c r="G68" s="5"/>
      <c r="H68" s="3" t="s">
        <v>180</v>
      </c>
      <c r="I68" s="3" t="str">
        <f t="shared" si="1"/>
        <v>6/06-03-2013</v>
      </c>
      <c r="J68" s="4">
        <v>41339</v>
      </c>
      <c r="K68" s="6">
        <v>0.79166666666666663</v>
      </c>
      <c r="L68" s="3">
        <v>19</v>
      </c>
      <c r="M68" s="3" t="s">
        <v>53</v>
      </c>
      <c r="N68" s="3" t="s">
        <v>53</v>
      </c>
      <c r="O68" s="5"/>
      <c r="P68" s="3" t="s">
        <v>22</v>
      </c>
      <c r="Q68" s="7"/>
      <c r="R68" s="7"/>
    </row>
    <row r="69" spans="1:18" ht="51" x14ac:dyDescent="0.25">
      <c r="A69" s="3" t="s">
        <v>18</v>
      </c>
      <c r="B69" s="3">
        <v>2013</v>
      </c>
      <c r="C69" s="3" t="s">
        <v>19</v>
      </c>
      <c r="D69" s="3" t="str">
        <f>"115/2013"</f>
        <v>115/2013</v>
      </c>
      <c r="E69" s="4">
        <v>41345</v>
      </c>
      <c r="F69" s="3" t="s">
        <v>181</v>
      </c>
      <c r="G69" s="5"/>
      <c r="H69" s="3" t="s">
        <v>182</v>
      </c>
      <c r="I69" s="3" t="str">
        <f t="shared" si="1"/>
        <v>6/06-03-2013</v>
      </c>
      <c r="J69" s="4">
        <v>41339</v>
      </c>
      <c r="K69" s="6">
        <v>0.79166666666666663</v>
      </c>
      <c r="L69" s="3">
        <v>20</v>
      </c>
      <c r="M69" s="3" t="s">
        <v>53</v>
      </c>
      <c r="N69" s="3" t="s">
        <v>53</v>
      </c>
      <c r="O69" s="5"/>
      <c r="P69" s="3" t="s">
        <v>22</v>
      </c>
      <c r="Q69" s="7"/>
      <c r="R69" s="7"/>
    </row>
    <row r="70" spans="1:18" ht="38.25" x14ac:dyDescent="0.25">
      <c r="A70" s="3" t="s">
        <v>18</v>
      </c>
      <c r="B70" s="3">
        <v>2013</v>
      </c>
      <c r="C70" s="3" t="s">
        <v>19</v>
      </c>
      <c r="D70" s="3" t="str">
        <f>"116/2013"</f>
        <v>116/2013</v>
      </c>
      <c r="E70" s="4">
        <v>41340</v>
      </c>
      <c r="F70" s="3" t="s">
        <v>183</v>
      </c>
      <c r="G70" s="5"/>
      <c r="H70" s="3" t="s">
        <v>184</v>
      </c>
      <c r="I70" s="3" t="str">
        <f t="shared" si="1"/>
        <v>6/06-03-2013</v>
      </c>
      <c r="J70" s="4">
        <v>41339</v>
      </c>
      <c r="K70" s="6">
        <v>0.79166666666666663</v>
      </c>
      <c r="L70" s="3">
        <v>21</v>
      </c>
      <c r="M70" s="3" t="s">
        <v>185</v>
      </c>
      <c r="N70" s="3" t="s">
        <v>185</v>
      </c>
      <c r="O70" s="5"/>
      <c r="P70" s="3" t="s">
        <v>22</v>
      </c>
      <c r="Q70" s="7"/>
      <c r="R70" s="7"/>
    </row>
    <row r="71" spans="1:18" ht="63.75" x14ac:dyDescent="0.25">
      <c r="A71" s="3" t="s">
        <v>18</v>
      </c>
      <c r="B71" s="3">
        <v>2013</v>
      </c>
      <c r="C71" s="3" t="s">
        <v>19</v>
      </c>
      <c r="D71" s="3" t="str">
        <f>"117/2013"</f>
        <v>117/2013</v>
      </c>
      <c r="E71" s="4">
        <v>41347</v>
      </c>
      <c r="F71" s="3" t="s">
        <v>186</v>
      </c>
      <c r="G71" s="5"/>
      <c r="H71" s="3" t="s">
        <v>187</v>
      </c>
      <c r="I71" s="3" t="str">
        <f t="shared" si="1"/>
        <v>6/06-03-2013</v>
      </c>
      <c r="J71" s="4">
        <v>41339</v>
      </c>
      <c r="K71" s="6">
        <v>0.79166666666666663</v>
      </c>
      <c r="L71" s="3">
        <v>22</v>
      </c>
      <c r="M71" s="3" t="s">
        <v>188</v>
      </c>
      <c r="N71" s="3" t="s">
        <v>188</v>
      </c>
      <c r="O71" s="5"/>
      <c r="P71" s="3" t="s">
        <v>22</v>
      </c>
      <c r="Q71" s="7"/>
      <c r="R71" s="7"/>
    </row>
    <row r="72" spans="1:18" ht="63.75" x14ac:dyDescent="0.25">
      <c r="A72" s="3" t="s">
        <v>18</v>
      </c>
      <c r="B72" s="3">
        <v>2013</v>
      </c>
      <c r="C72" s="3" t="s">
        <v>19</v>
      </c>
      <c r="D72" s="3" t="str">
        <f>"118/2013"</f>
        <v>118/2013</v>
      </c>
      <c r="E72" s="4">
        <v>41347</v>
      </c>
      <c r="F72" s="3" t="s">
        <v>189</v>
      </c>
      <c r="G72" s="5"/>
      <c r="H72" s="3" t="s">
        <v>190</v>
      </c>
      <c r="I72" s="3" t="str">
        <f t="shared" si="1"/>
        <v>6/06-03-2013</v>
      </c>
      <c r="J72" s="4">
        <v>41339</v>
      </c>
      <c r="K72" s="6">
        <v>0.79166666666666663</v>
      </c>
      <c r="L72" s="3">
        <v>22</v>
      </c>
      <c r="M72" s="3" t="s">
        <v>188</v>
      </c>
      <c r="N72" s="3" t="s">
        <v>188</v>
      </c>
      <c r="O72" s="5"/>
      <c r="P72" s="3" t="s">
        <v>22</v>
      </c>
      <c r="Q72" s="7"/>
      <c r="R72" s="7"/>
    </row>
    <row r="73" spans="1:18" ht="63.75" x14ac:dyDescent="0.25">
      <c r="A73" s="3" t="s">
        <v>18</v>
      </c>
      <c r="B73" s="3">
        <v>2013</v>
      </c>
      <c r="C73" s="3" t="s">
        <v>19</v>
      </c>
      <c r="D73" s="3" t="str">
        <f>"119/2013"</f>
        <v>119/2013</v>
      </c>
      <c r="E73" s="4">
        <v>41379</v>
      </c>
      <c r="F73" s="3" t="s">
        <v>191</v>
      </c>
      <c r="G73" s="5"/>
      <c r="H73" s="3" t="s">
        <v>192</v>
      </c>
      <c r="I73" s="3" t="str">
        <f t="shared" si="1"/>
        <v>6/06-03-2013</v>
      </c>
      <c r="J73" s="4">
        <v>41339</v>
      </c>
      <c r="K73" s="6">
        <v>0.79166666666666663</v>
      </c>
      <c r="L73" s="3">
        <v>22</v>
      </c>
      <c r="M73" s="3" t="s">
        <v>188</v>
      </c>
      <c r="N73" s="3" t="s">
        <v>188</v>
      </c>
      <c r="O73" s="5"/>
      <c r="P73" s="3" t="s">
        <v>22</v>
      </c>
      <c r="Q73" s="7"/>
      <c r="R73" s="7"/>
    </row>
    <row r="74" spans="1:18" ht="51" x14ac:dyDescent="0.25">
      <c r="A74" s="3" t="s">
        <v>18</v>
      </c>
      <c r="B74" s="3">
        <v>2013</v>
      </c>
      <c r="C74" s="3" t="s">
        <v>19</v>
      </c>
      <c r="D74" s="3" t="str">
        <f>"120/2013"</f>
        <v>120/2013</v>
      </c>
      <c r="E74" s="4">
        <v>41373</v>
      </c>
      <c r="F74" s="3" t="s">
        <v>193</v>
      </c>
      <c r="G74" s="5"/>
      <c r="H74" s="3" t="s">
        <v>194</v>
      </c>
      <c r="I74" s="3" t="str">
        <f t="shared" si="1"/>
        <v>6/06-03-2013</v>
      </c>
      <c r="J74" s="4">
        <v>41339</v>
      </c>
      <c r="K74" s="6">
        <v>0.79166666666666663</v>
      </c>
      <c r="L74" s="3">
        <v>22</v>
      </c>
      <c r="M74" s="3" t="s">
        <v>188</v>
      </c>
      <c r="N74" s="3" t="s">
        <v>188</v>
      </c>
      <c r="O74" s="5"/>
      <c r="P74" s="3" t="s">
        <v>22</v>
      </c>
      <c r="Q74" s="7"/>
      <c r="R74" s="7"/>
    </row>
    <row r="75" spans="1:18" ht="63.75" x14ac:dyDescent="0.25">
      <c r="A75" s="3" t="s">
        <v>18</v>
      </c>
      <c r="B75" s="3">
        <v>2013</v>
      </c>
      <c r="C75" s="3" t="s">
        <v>19</v>
      </c>
      <c r="D75" s="3" t="str">
        <f>"121/2013"</f>
        <v>121/2013</v>
      </c>
      <c r="E75" s="4">
        <v>41345</v>
      </c>
      <c r="F75" s="3" t="s">
        <v>195</v>
      </c>
      <c r="G75" s="5"/>
      <c r="H75" s="3" t="s">
        <v>196</v>
      </c>
      <c r="I75" s="3" t="str">
        <f t="shared" si="1"/>
        <v>6/06-03-2013</v>
      </c>
      <c r="J75" s="4">
        <v>41339</v>
      </c>
      <c r="K75" s="6">
        <v>0.79166666666666663</v>
      </c>
      <c r="L75" s="3">
        <v>23</v>
      </c>
      <c r="M75" s="3" t="s">
        <v>197</v>
      </c>
      <c r="N75" s="3" t="s">
        <v>197</v>
      </c>
      <c r="O75" s="5"/>
      <c r="P75" s="3" t="s">
        <v>22</v>
      </c>
      <c r="Q75" s="7"/>
      <c r="R75" s="7"/>
    </row>
    <row r="76" spans="1:18" ht="63.75" x14ac:dyDescent="0.25">
      <c r="A76" s="3" t="s">
        <v>18</v>
      </c>
      <c r="B76" s="3">
        <v>2013</v>
      </c>
      <c r="C76" s="3" t="s">
        <v>19</v>
      </c>
      <c r="D76" s="3" t="str">
        <f>"122/2013"</f>
        <v>122/2013</v>
      </c>
      <c r="E76" s="4">
        <v>41347</v>
      </c>
      <c r="F76" s="3" t="s">
        <v>198</v>
      </c>
      <c r="G76" s="5"/>
      <c r="H76" s="3" t="s">
        <v>199</v>
      </c>
      <c r="I76" s="3" t="str">
        <f t="shared" si="1"/>
        <v>6/06-03-2013</v>
      </c>
      <c r="J76" s="4">
        <v>41339</v>
      </c>
      <c r="K76" s="6">
        <v>0.79166666666666663</v>
      </c>
      <c r="L76" s="3">
        <v>23</v>
      </c>
      <c r="M76" s="3" t="s">
        <v>197</v>
      </c>
      <c r="N76" s="3" t="s">
        <v>197</v>
      </c>
      <c r="O76" s="5"/>
      <c r="P76" s="3" t="s">
        <v>22</v>
      </c>
      <c r="Q76" s="7"/>
      <c r="R76" s="7"/>
    </row>
    <row r="77" spans="1:18" ht="63.75" x14ac:dyDescent="0.25">
      <c r="A77" s="3" t="s">
        <v>18</v>
      </c>
      <c r="B77" s="3">
        <v>2013</v>
      </c>
      <c r="C77" s="3" t="s">
        <v>19</v>
      </c>
      <c r="D77" s="3" t="str">
        <f>"123/2013"</f>
        <v>123/2013</v>
      </c>
      <c r="E77" s="4">
        <v>41347</v>
      </c>
      <c r="F77" s="3" t="s">
        <v>200</v>
      </c>
      <c r="G77" s="5"/>
      <c r="H77" s="3" t="s">
        <v>201</v>
      </c>
      <c r="I77" s="3" t="str">
        <f t="shared" si="1"/>
        <v>6/06-03-2013</v>
      </c>
      <c r="J77" s="4">
        <v>41339</v>
      </c>
      <c r="K77" s="6">
        <v>0.79166666666666663</v>
      </c>
      <c r="L77" s="3">
        <v>23</v>
      </c>
      <c r="M77" s="3" t="s">
        <v>197</v>
      </c>
      <c r="N77" s="3" t="s">
        <v>197</v>
      </c>
      <c r="O77" s="5"/>
      <c r="P77" s="3" t="s">
        <v>22</v>
      </c>
      <c r="Q77" s="7"/>
      <c r="R77" s="7"/>
    </row>
    <row r="78" spans="1:18" ht="63.75" x14ac:dyDescent="0.25">
      <c r="A78" s="3" t="s">
        <v>18</v>
      </c>
      <c r="B78" s="3">
        <v>2013</v>
      </c>
      <c r="C78" s="3" t="s">
        <v>19</v>
      </c>
      <c r="D78" s="3" t="str">
        <f>"124/2013"</f>
        <v>124/2013</v>
      </c>
      <c r="E78" s="4">
        <v>41347</v>
      </c>
      <c r="F78" s="3" t="s">
        <v>202</v>
      </c>
      <c r="G78" s="5"/>
      <c r="H78" s="3" t="s">
        <v>203</v>
      </c>
      <c r="I78" s="3" t="str">
        <f t="shared" si="1"/>
        <v>6/06-03-2013</v>
      </c>
      <c r="J78" s="4">
        <v>41339</v>
      </c>
      <c r="K78" s="6">
        <v>0.79166666666666663</v>
      </c>
      <c r="L78" s="3">
        <v>23</v>
      </c>
      <c r="M78" s="3" t="s">
        <v>197</v>
      </c>
      <c r="N78" s="3" t="s">
        <v>197</v>
      </c>
      <c r="O78" s="5"/>
      <c r="P78" s="3" t="s">
        <v>22</v>
      </c>
      <c r="Q78" s="7"/>
      <c r="R78" s="7"/>
    </row>
    <row r="79" spans="1:18" ht="63.75" x14ac:dyDescent="0.25">
      <c r="A79" s="3" t="s">
        <v>18</v>
      </c>
      <c r="B79" s="3">
        <v>2013</v>
      </c>
      <c r="C79" s="3" t="s">
        <v>19</v>
      </c>
      <c r="D79" s="3" t="str">
        <f>"125/2013"</f>
        <v>125/2013</v>
      </c>
      <c r="E79" s="4">
        <v>41347</v>
      </c>
      <c r="F79" s="3" t="s">
        <v>204</v>
      </c>
      <c r="G79" s="5"/>
      <c r="H79" s="3" t="s">
        <v>205</v>
      </c>
      <c r="I79" s="3" t="str">
        <f t="shared" si="1"/>
        <v>6/06-03-2013</v>
      </c>
      <c r="J79" s="4">
        <v>41339</v>
      </c>
      <c r="K79" s="6">
        <v>0.79166666666666663</v>
      </c>
      <c r="L79" s="3">
        <v>23</v>
      </c>
      <c r="M79" s="3" t="s">
        <v>197</v>
      </c>
      <c r="N79" s="3" t="s">
        <v>197</v>
      </c>
      <c r="O79" s="5"/>
      <c r="P79" s="3" t="s">
        <v>22</v>
      </c>
      <c r="Q79" s="7"/>
      <c r="R79" s="7"/>
    </row>
    <row r="80" spans="1:18" ht="102" x14ac:dyDescent="0.25">
      <c r="A80" s="3" t="s">
        <v>18</v>
      </c>
      <c r="B80" s="3">
        <v>2013</v>
      </c>
      <c r="C80" s="3" t="s">
        <v>19</v>
      </c>
      <c r="D80" s="3" t="str">
        <f>"126/2013"</f>
        <v>126/2013</v>
      </c>
      <c r="E80" s="4">
        <v>41347</v>
      </c>
      <c r="F80" s="3" t="s">
        <v>206</v>
      </c>
      <c r="G80" s="5"/>
      <c r="H80" s="3" t="s">
        <v>207</v>
      </c>
      <c r="I80" s="3" t="str">
        <f t="shared" si="1"/>
        <v>6/06-03-2013</v>
      </c>
      <c r="J80" s="4">
        <v>41339</v>
      </c>
      <c r="K80" s="6">
        <v>0.79166666666666663</v>
      </c>
      <c r="L80" s="3">
        <v>23</v>
      </c>
      <c r="M80" s="3" t="s">
        <v>185</v>
      </c>
      <c r="N80" s="3" t="s">
        <v>185</v>
      </c>
      <c r="O80" s="5"/>
      <c r="P80" s="3" t="s">
        <v>22</v>
      </c>
      <c r="Q80" s="7"/>
      <c r="R80" s="7"/>
    </row>
    <row r="81" spans="1:18" ht="76.5" x14ac:dyDescent="0.25">
      <c r="A81" s="3" t="s">
        <v>18</v>
      </c>
      <c r="B81" s="3">
        <v>2013</v>
      </c>
      <c r="C81" s="3" t="s">
        <v>19</v>
      </c>
      <c r="D81" s="3" t="str">
        <f>"127/2013"</f>
        <v>127/2013</v>
      </c>
      <c r="E81" s="4">
        <v>41347</v>
      </c>
      <c r="F81" s="3" t="s">
        <v>208</v>
      </c>
      <c r="G81" s="5"/>
      <c r="H81" s="3" t="s">
        <v>209</v>
      </c>
      <c r="I81" s="3" t="str">
        <f t="shared" si="1"/>
        <v>6/06-03-2013</v>
      </c>
      <c r="J81" s="4">
        <v>41339</v>
      </c>
      <c r="K81" s="6">
        <v>0.79166666666666663</v>
      </c>
      <c r="L81" s="3">
        <v>23</v>
      </c>
      <c r="M81" s="3" t="s">
        <v>185</v>
      </c>
      <c r="N81" s="3" t="s">
        <v>185</v>
      </c>
      <c r="O81" s="5"/>
      <c r="P81" s="3" t="s">
        <v>22</v>
      </c>
      <c r="Q81" s="7"/>
      <c r="R81" s="7"/>
    </row>
    <row r="82" spans="1:18" ht="76.5" x14ac:dyDescent="0.25">
      <c r="A82" s="3" t="s">
        <v>18</v>
      </c>
      <c r="B82" s="3">
        <v>2013</v>
      </c>
      <c r="C82" s="3" t="s">
        <v>19</v>
      </c>
      <c r="D82" s="3" t="str">
        <f>"128/2013"</f>
        <v>128/2013</v>
      </c>
      <c r="E82" s="4">
        <v>41347</v>
      </c>
      <c r="F82" s="3" t="s">
        <v>210</v>
      </c>
      <c r="G82" s="5"/>
      <c r="H82" s="3" t="s">
        <v>211</v>
      </c>
      <c r="I82" s="3" t="str">
        <f t="shared" si="1"/>
        <v>6/06-03-2013</v>
      </c>
      <c r="J82" s="4">
        <v>41339</v>
      </c>
      <c r="K82" s="6">
        <v>0.79166666666666663</v>
      </c>
      <c r="L82" s="3">
        <v>23</v>
      </c>
      <c r="M82" s="3" t="s">
        <v>185</v>
      </c>
      <c r="N82" s="3" t="s">
        <v>185</v>
      </c>
      <c r="O82" s="5"/>
      <c r="P82" s="3" t="s">
        <v>22</v>
      </c>
      <c r="Q82" s="7"/>
      <c r="R82" s="7"/>
    </row>
    <row r="83" spans="1:18" ht="51" x14ac:dyDescent="0.25">
      <c r="A83" s="3" t="s">
        <v>18</v>
      </c>
      <c r="B83" s="3">
        <v>2013</v>
      </c>
      <c r="C83" s="3" t="s">
        <v>19</v>
      </c>
      <c r="D83" s="3" t="str">
        <f>"129/2013"</f>
        <v>129/2013</v>
      </c>
      <c r="E83" s="4">
        <v>41340</v>
      </c>
      <c r="F83" s="3" t="s">
        <v>212</v>
      </c>
      <c r="G83" s="5"/>
      <c r="H83" s="3" t="s">
        <v>213</v>
      </c>
      <c r="I83" s="3" t="str">
        <f t="shared" si="1"/>
        <v>6/06-03-2013</v>
      </c>
      <c r="J83" s="4">
        <v>41339</v>
      </c>
      <c r="K83" s="6">
        <v>0.79166666666666663</v>
      </c>
      <c r="L83" s="5"/>
      <c r="M83" s="5"/>
      <c r="N83" s="5"/>
      <c r="O83" s="5"/>
      <c r="P83" s="3" t="s">
        <v>74</v>
      </c>
      <c r="Q83" s="7"/>
      <c r="R83" s="7"/>
    </row>
    <row r="84" spans="1:18" ht="102" x14ac:dyDescent="0.25">
      <c r="A84" s="3" t="s">
        <v>18</v>
      </c>
      <c r="B84" s="3">
        <v>2013</v>
      </c>
      <c r="C84" s="3" t="s">
        <v>19</v>
      </c>
      <c r="D84" s="3" t="str">
        <f>"130/2013"</f>
        <v>130/2013</v>
      </c>
      <c r="E84" s="4">
        <v>41344</v>
      </c>
      <c r="F84" s="3" t="s">
        <v>214</v>
      </c>
      <c r="G84" s="5"/>
      <c r="H84" s="3" t="s">
        <v>215</v>
      </c>
      <c r="I84" s="3" t="str">
        <f t="shared" si="1"/>
        <v>6/06-03-2013</v>
      </c>
      <c r="J84" s="4">
        <v>41339</v>
      </c>
      <c r="K84" s="6">
        <v>0.79166666666666663</v>
      </c>
      <c r="L84" s="5"/>
      <c r="M84" s="3" t="s">
        <v>216</v>
      </c>
      <c r="N84" s="3" t="s">
        <v>216</v>
      </c>
      <c r="O84" s="5"/>
      <c r="P84" s="3" t="s">
        <v>74</v>
      </c>
      <c r="Q84" s="7"/>
      <c r="R84" s="7"/>
    </row>
    <row r="85" spans="1:18" ht="76.5" x14ac:dyDescent="0.25">
      <c r="A85" s="3" t="s">
        <v>18</v>
      </c>
      <c r="B85" s="3">
        <v>2013</v>
      </c>
      <c r="C85" s="3" t="s">
        <v>19</v>
      </c>
      <c r="D85" s="3" t="str">
        <f>"131/2013"</f>
        <v>131/2013</v>
      </c>
      <c r="E85" s="4">
        <v>41345</v>
      </c>
      <c r="F85" s="3" t="s">
        <v>217</v>
      </c>
      <c r="G85" s="5"/>
      <c r="H85" s="3" t="s">
        <v>218</v>
      </c>
      <c r="I85" s="3" t="str">
        <f t="shared" si="1"/>
        <v>6/06-03-2013</v>
      </c>
      <c r="J85" s="4">
        <v>41339</v>
      </c>
      <c r="K85" s="6">
        <v>0.79166666666666663</v>
      </c>
      <c r="L85" s="5"/>
      <c r="M85" s="3" t="s">
        <v>216</v>
      </c>
      <c r="N85" s="3" t="s">
        <v>216</v>
      </c>
      <c r="O85" s="5"/>
      <c r="P85" s="3" t="s">
        <v>74</v>
      </c>
      <c r="Q85" s="7"/>
      <c r="R85" s="7"/>
    </row>
    <row r="86" spans="1:18" ht="63.75" x14ac:dyDescent="0.25">
      <c r="A86" s="3" t="s">
        <v>18</v>
      </c>
      <c r="B86" s="3">
        <v>2013</v>
      </c>
      <c r="C86" s="3" t="s">
        <v>19</v>
      </c>
      <c r="D86" s="3" t="str">
        <f>"132/2013"</f>
        <v>132/2013</v>
      </c>
      <c r="E86" s="4">
        <v>41341</v>
      </c>
      <c r="F86" s="3" t="s">
        <v>219</v>
      </c>
      <c r="G86" s="5"/>
      <c r="H86" s="3" t="s">
        <v>220</v>
      </c>
      <c r="I86" s="3" t="str">
        <f t="shared" si="1"/>
        <v>6/06-03-2013</v>
      </c>
      <c r="J86" s="4">
        <v>41339</v>
      </c>
      <c r="K86" s="6">
        <v>0.79166666666666663</v>
      </c>
      <c r="L86" s="5"/>
      <c r="M86" s="5"/>
      <c r="N86" s="5"/>
      <c r="O86" s="5"/>
      <c r="P86" s="3" t="s">
        <v>74</v>
      </c>
      <c r="Q86" s="7"/>
      <c r="R86" s="7"/>
    </row>
    <row r="87" spans="1:18" ht="89.25" x14ac:dyDescent="0.25">
      <c r="A87" s="3" t="s">
        <v>18</v>
      </c>
      <c r="B87" s="3">
        <v>2013</v>
      </c>
      <c r="C87" s="3" t="s">
        <v>19</v>
      </c>
      <c r="D87" s="3" t="str">
        <f>"133/2013"</f>
        <v>133/2013</v>
      </c>
      <c r="E87" s="4">
        <v>41344</v>
      </c>
      <c r="F87" s="3" t="s">
        <v>221</v>
      </c>
      <c r="G87" s="5"/>
      <c r="H87" s="3" t="s">
        <v>222</v>
      </c>
      <c r="I87" s="3" t="str">
        <f t="shared" si="1"/>
        <v>6/06-03-2013</v>
      </c>
      <c r="J87" s="4">
        <v>41339</v>
      </c>
      <c r="K87" s="6">
        <v>0.79166666666666663</v>
      </c>
      <c r="L87" s="5"/>
      <c r="M87" s="3" t="s">
        <v>223</v>
      </c>
      <c r="N87" s="3" t="s">
        <v>223</v>
      </c>
      <c r="O87" s="5"/>
      <c r="P87" s="3" t="s">
        <v>74</v>
      </c>
      <c r="Q87" s="7"/>
      <c r="R87" s="7"/>
    </row>
    <row r="88" spans="1:18" ht="63.75" x14ac:dyDescent="0.25">
      <c r="A88" s="3" t="s">
        <v>18</v>
      </c>
      <c r="B88" s="3">
        <v>2013</v>
      </c>
      <c r="C88" s="3" t="s">
        <v>19</v>
      </c>
      <c r="D88" s="3" t="str">
        <f>"134/2013"</f>
        <v>134/2013</v>
      </c>
      <c r="E88" s="4">
        <v>41344</v>
      </c>
      <c r="F88" s="3" t="s">
        <v>224</v>
      </c>
      <c r="G88" s="5"/>
      <c r="H88" s="3" t="s">
        <v>225</v>
      </c>
      <c r="I88" s="3" t="str">
        <f t="shared" si="1"/>
        <v>6/06-03-2013</v>
      </c>
      <c r="J88" s="4">
        <v>41339</v>
      </c>
      <c r="K88" s="6">
        <v>0.79166666666666663</v>
      </c>
      <c r="L88" s="5"/>
      <c r="M88" s="3" t="s">
        <v>149</v>
      </c>
      <c r="N88" s="3" t="s">
        <v>149</v>
      </c>
      <c r="O88" s="5"/>
      <c r="P88" s="3" t="s">
        <v>74</v>
      </c>
      <c r="Q88" s="7"/>
      <c r="R88" s="7"/>
    </row>
    <row r="89" spans="1:18" ht="114.75" x14ac:dyDescent="0.25">
      <c r="A89" s="3" t="s">
        <v>18</v>
      </c>
      <c r="B89" s="3">
        <v>2013</v>
      </c>
      <c r="C89" s="3" t="s">
        <v>19</v>
      </c>
      <c r="D89" s="3" t="str">
        <f>"135/2013"</f>
        <v>135/2013</v>
      </c>
      <c r="E89" s="4">
        <v>41355</v>
      </c>
      <c r="F89" s="3" t="s">
        <v>226</v>
      </c>
      <c r="G89" s="5"/>
      <c r="H89" s="3" t="s">
        <v>227</v>
      </c>
      <c r="I89" s="3" t="str">
        <f t="shared" ref="I89:I110" si="2">"7/13-03-2013"</f>
        <v>7/13-03-2013</v>
      </c>
      <c r="J89" s="4">
        <v>41346</v>
      </c>
      <c r="K89" s="6">
        <v>0.79166666666666663</v>
      </c>
      <c r="L89" s="3">
        <v>1</v>
      </c>
      <c r="M89" s="3" t="s">
        <v>228</v>
      </c>
      <c r="N89" s="3" t="s">
        <v>228</v>
      </c>
      <c r="O89" s="5"/>
      <c r="P89" s="3" t="s">
        <v>114</v>
      </c>
      <c r="Q89" s="7"/>
      <c r="R89" s="7"/>
    </row>
    <row r="90" spans="1:18" ht="89.25" x14ac:dyDescent="0.25">
      <c r="A90" s="3" t="s">
        <v>18</v>
      </c>
      <c r="B90" s="3">
        <v>2013</v>
      </c>
      <c r="C90" s="3" t="s">
        <v>19</v>
      </c>
      <c r="D90" s="3" t="str">
        <f>"136/2013"</f>
        <v>136/2013</v>
      </c>
      <c r="E90" s="4">
        <v>41366</v>
      </c>
      <c r="F90" s="3" t="s">
        <v>229</v>
      </c>
      <c r="G90" s="5"/>
      <c r="H90" s="3" t="s">
        <v>230</v>
      </c>
      <c r="I90" s="3" t="str">
        <f t="shared" si="2"/>
        <v>7/13-03-2013</v>
      </c>
      <c r="J90" s="4">
        <v>41346</v>
      </c>
      <c r="K90" s="6">
        <v>0.79166666666666663</v>
      </c>
      <c r="L90" s="3">
        <v>3</v>
      </c>
      <c r="M90" s="3" t="s">
        <v>228</v>
      </c>
      <c r="N90" s="3" t="s">
        <v>228</v>
      </c>
      <c r="O90" s="5"/>
      <c r="P90" s="3" t="s">
        <v>22</v>
      </c>
      <c r="Q90" s="7"/>
      <c r="R90" s="7"/>
    </row>
    <row r="91" spans="1:18" ht="51" x14ac:dyDescent="0.25">
      <c r="A91" s="3" t="s">
        <v>18</v>
      </c>
      <c r="B91" s="3">
        <v>2013</v>
      </c>
      <c r="C91" s="3" t="s">
        <v>19</v>
      </c>
      <c r="D91" s="3" t="str">
        <f>"137/2013"</f>
        <v>137/2013</v>
      </c>
      <c r="E91" s="4">
        <v>41365</v>
      </c>
      <c r="F91" s="3" t="s">
        <v>231</v>
      </c>
      <c r="G91" s="5"/>
      <c r="H91" s="3" t="s">
        <v>232</v>
      </c>
      <c r="I91" s="3" t="str">
        <f t="shared" si="2"/>
        <v>7/13-03-2013</v>
      </c>
      <c r="J91" s="4">
        <v>41346</v>
      </c>
      <c r="K91" s="6">
        <v>0.79166666666666663</v>
      </c>
      <c r="L91" s="3">
        <v>4</v>
      </c>
      <c r="M91" s="3" t="s">
        <v>25</v>
      </c>
      <c r="N91" s="3" t="s">
        <v>25</v>
      </c>
      <c r="O91" s="5"/>
      <c r="P91" s="3" t="s">
        <v>22</v>
      </c>
      <c r="Q91" s="7"/>
      <c r="R91" s="7"/>
    </row>
    <row r="92" spans="1:18" ht="102" x14ac:dyDescent="0.25">
      <c r="A92" s="3" t="s">
        <v>18</v>
      </c>
      <c r="B92" s="3">
        <v>2013</v>
      </c>
      <c r="C92" s="3" t="s">
        <v>19</v>
      </c>
      <c r="D92" s="3" t="str">
        <f>"138/2013"</f>
        <v>138/2013</v>
      </c>
      <c r="E92" s="4">
        <v>41361</v>
      </c>
      <c r="F92" s="3" t="s">
        <v>233</v>
      </c>
      <c r="G92" s="5"/>
      <c r="H92" s="3" t="s">
        <v>234</v>
      </c>
      <c r="I92" s="3" t="str">
        <f t="shared" si="2"/>
        <v>7/13-03-2013</v>
      </c>
      <c r="J92" s="4">
        <v>41346</v>
      </c>
      <c r="K92" s="6">
        <v>0.79166666666666663</v>
      </c>
      <c r="L92" s="3">
        <v>6</v>
      </c>
      <c r="M92" s="3" t="s">
        <v>235</v>
      </c>
      <c r="N92" s="3" t="s">
        <v>236</v>
      </c>
      <c r="O92" s="5"/>
      <c r="P92" s="3" t="s">
        <v>22</v>
      </c>
      <c r="Q92" s="7"/>
      <c r="R92" s="7"/>
    </row>
    <row r="93" spans="1:18" ht="76.5" x14ac:dyDescent="0.25">
      <c r="A93" s="3" t="s">
        <v>18</v>
      </c>
      <c r="B93" s="3">
        <v>2013</v>
      </c>
      <c r="C93" s="3" t="s">
        <v>19</v>
      </c>
      <c r="D93" s="3" t="str">
        <f>"139/2013"</f>
        <v>139/2013</v>
      </c>
      <c r="E93" s="4">
        <v>41348</v>
      </c>
      <c r="F93" s="3" t="s">
        <v>237</v>
      </c>
      <c r="G93" s="5"/>
      <c r="H93" s="3" t="s">
        <v>238</v>
      </c>
      <c r="I93" s="3" t="str">
        <f t="shared" si="2"/>
        <v>7/13-03-2013</v>
      </c>
      <c r="J93" s="4">
        <v>41346</v>
      </c>
      <c r="K93" s="6">
        <v>0.79166666666666663</v>
      </c>
      <c r="L93" s="3">
        <v>7</v>
      </c>
      <c r="M93" s="3" t="s">
        <v>188</v>
      </c>
      <c r="N93" s="3" t="s">
        <v>188</v>
      </c>
      <c r="O93" s="5"/>
      <c r="P93" s="3" t="s">
        <v>22</v>
      </c>
      <c r="Q93" s="7"/>
      <c r="R93" s="7"/>
    </row>
    <row r="94" spans="1:18" ht="51" x14ac:dyDescent="0.25">
      <c r="A94" s="3" t="s">
        <v>18</v>
      </c>
      <c r="B94" s="3">
        <v>2013</v>
      </c>
      <c r="C94" s="3" t="s">
        <v>19</v>
      </c>
      <c r="D94" s="3" t="str">
        <f>"140/2013"</f>
        <v>140/2013</v>
      </c>
      <c r="E94" s="4">
        <v>41348</v>
      </c>
      <c r="F94" s="3" t="s">
        <v>239</v>
      </c>
      <c r="G94" s="5"/>
      <c r="H94" s="3" t="s">
        <v>240</v>
      </c>
      <c r="I94" s="3" t="str">
        <f t="shared" si="2"/>
        <v>7/13-03-2013</v>
      </c>
      <c r="J94" s="4">
        <v>41346</v>
      </c>
      <c r="K94" s="6">
        <v>0.79166666666666663</v>
      </c>
      <c r="L94" s="3">
        <v>9</v>
      </c>
      <c r="M94" s="3" t="s">
        <v>241</v>
      </c>
      <c r="N94" s="3" t="s">
        <v>241</v>
      </c>
      <c r="O94" s="5"/>
      <c r="P94" s="3" t="s">
        <v>22</v>
      </c>
      <c r="Q94" s="7"/>
      <c r="R94" s="7"/>
    </row>
    <row r="95" spans="1:18" ht="89.25" x14ac:dyDescent="0.25">
      <c r="A95" s="3" t="s">
        <v>18</v>
      </c>
      <c r="B95" s="3">
        <v>2013</v>
      </c>
      <c r="C95" s="3" t="s">
        <v>19</v>
      </c>
      <c r="D95" s="3" t="str">
        <f>"141/2013"</f>
        <v>141/2013</v>
      </c>
      <c r="E95" s="4">
        <v>41353</v>
      </c>
      <c r="F95" s="3" t="s">
        <v>242</v>
      </c>
      <c r="G95" s="5"/>
      <c r="H95" s="3" t="s">
        <v>243</v>
      </c>
      <c r="I95" s="3" t="str">
        <f t="shared" si="2"/>
        <v>7/13-03-2013</v>
      </c>
      <c r="J95" s="4">
        <v>41346</v>
      </c>
      <c r="K95" s="6">
        <v>0.79166666666666663</v>
      </c>
      <c r="L95" s="3">
        <v>10</v>
      </c>
      <c r="M95" s="3" t="s">
        <v>244</v>
      </c>
      <c r="N95" s="3" t="s">
        <v>244</v>
      </c>
      <c r="O95" s="5"/>
      <c r="P95" s="3" t="s">
        <v>22</v>
      </c>
      <c r="Q95" s="7"/>
      <c r="R95" s="7"/>
    </row>
    <row r="96" spans="1:18" ht="38.25" x14ac:dyDescent="0.25">
      <c r="A96" s="3" t="s">
        <v>18</v>
      </c>
      <c r="B96" s="3">
        <v>2013</v>
      </c>
      <c r="C96" s="3" t="s">
        <v>19</v>
      </c>
      <c r="D96" s="3" t="str">
        <f>"142/2013"</f>
        <v>142/2013</v>
      </c>
      <c r="E96" s="4">
        <v>41352</v>
      </c>
      <c r="F96" s="3" t="s">
        <v>245</v>
      </c>
      <c r="G96" s="5"/>
      <c r="H96" s="3" t="s">
        <v>246</v>
      </c>
      <c r="I96" s="3" t="str">
        <f t="shared" si="2"/>
        <v>7/13-03-2013</v>
      </c>
      <c r="J96" s="4">
        <v>41346</v>
      </c>
      <c r="K96" s="6">
        <v>0.79166666666666663</v>
      </c>
      <c r="L96" s="3">
        <v>11</v>
      </c>
      <c r="M96" s="3" t="s">
        <v>241</v>
      </c>
      <c r="N96" s="3" t="s">
        <v>241</v>
      </c>
      <c r="O96" s="5"/>
      <c r="P96" s="3" t="s">
        <v>22</v>
      </c>
      <c r="Q96" s="7"/>
      <c r="R96" s="7"/>
    </row>
    <row r="97" spans="1:18" ht="38.25" x14ac:dyDescent="0.25">
      <c r="A97" s="3" t="s">
        <v>18</v>
      </c>
      <c r="B97" s="3">
        <v>2013</v>
      </c>
      <c r="C97" s="3" t="s">
        <v>19</v>
      </c>
      <c r="D97" s="3" t="str">
        <f>"143/2013"</f>
        <v>143/2013</v>
      </c>
      <c r="E97" s="4">
        <v>41352</v>
      </c>
      <c r="F97" s="3" t="s">
        <v>247</v>
      </c>
      <c r="G97" s="5"/>
      <c r="H97" s="3" t="s">
        <v>248</v>
      </c>
      <c r="I97" s="3" t="str">
        <f t="shared" si="2"/>
        <v>7/13-03-2013</v>
      </c>
      <c r="J97" s="4">
        <v>41346</v>
      </c>
      <c r="K97" s="6">
        <v>0.79166666666666663</v>
      </c>
      <c r="L97" s="3">
        <v>11</v>
      </c>
      <c r="M97" s="3" t="s">
        <v>241</v>
      </c>
      <c r="N97" s="3" t="s">
        <v>241</v>
      </c>
      <c r="O97" s="5"/>
      <c r="P97" s="3" t="s">
        <v>22</v>
      </c>
      <c r="Q97" s="7"/>
      <c r="R97" s="7"/>
    </row>
    <row r="98" spans="1:18" ht="51" x14ac:dyDescent="0.25">
      <c r="A98" s="3" t="s">
        <v>18</v>
      </c>
      <c r="B98" s="3">
        <v>2013</v>
      </c>
      <c r="C98" s="3" t="s">
        <v>19</v>
      </c>
      <c r="D98" s="3" t="str">
        <f>"144/2013"</f>
        <v>144/2013</v>
      </c>
      <c r="E98" s="4">
        <v>41352</v>
      </c>
      <c r="F98" s="3" t="s">
        <v>249</v>
      </c>
      <c r="G98" s="5"/>
      <c r="H98" s="3" t="s">
        <v>250</v>
      </c>
      <c r="I98" s="3" t="str">
        <f t="shared" si="2"/>
        <v>7/13-03-2013</v>
      </c>
      <c r="J98" s="4">
        <v>41346</v>
      </c>
      <c r="K98" s="6">
        <v>0.79166666666666663</v>
      </c>
      <c r="L98" s="3">
        <v>11</v>
      </c>
      <c r="M98" s="3" t="s">
        <v>241</v>
      </c>
      <c r="N98" s="3" t="s">
        <v>241</v>
      </c>
      <c r="O98" s="5"/>
      <c r="P98" s="3" t="s">
        <v>22</v>
      </c>
      <c r="Q98" s="7"/>
      <c r="R98" s="7"/>
    </row>
    <row r="99" spans="1:18" ht="76.5" x14ac:dyDescent="0.25">
      <c r="A99" s="3" t="s">
        <v>18</v>
      </c>
      <c r="B99" s="3">
        <v>2013</v>
      </c>
      <c r="C99" s="3" t="s">
        <v>19</v>
      </c>
      <c r="D99" s="3" t="str">
        <f>"145/2013"</f>
        <v>145/2013</v>
      </c>
      <c r="E99" s="4">
        <v>41359</v>
      </c>
      <c r="F99" s="3" t="s">
        <v>251</v>
      </c>
      <c r="G99" s="5"/>
      <c r="H99" s="3" t="s">
        <v>252</v>
      </c>
      <c r="I99" s="3" t="str">
        <f t="shared" si="2"/>
        <v>7/13-03-2013</v>
      </c>
      <c r="J99" s="4">
        <v>41346</v>
      </c>
      <c r="K99" s="6">
        <v>0.79166666666666663</v>
      </c>
      <c r="L99" s="3">
        <v>11</v>
      </c>
      <c r="M99" s="3" t="s">
        <v>253</v>
      </c>
      <c r="N99" s="3" t="s">
        <v>253</v>
      </c>
      <c r="O99" s="5"/>
      <c r="P99" s="3" t="s">
        <v>22</v>
      </c>
      <c r="Q99" s="7"/>
      <c r="R99" s="7"/>
    </row>
    <row r="100" spans="1:18" ht="38.25" x14ac:dyDescent="0.25">
      <c r="A100" s="3" t="s">
        <v>18</v>
      </c>
      <c r="B100" s="3">
        <v>2013</v>
      </c>
      <c r="C100" s="3" t="s">
        <v>19</v>
      </c>
      <c r="D100" s="3" t="str">
        <f>"146/2013"</f>
        <v>146/2013</v>
      </c>
      <c r="E100" s="4">
        <v>41354</v>
      </c>
      <c r="F100" s="3" t="s">
        <v>254</v>
      </c>
      <c r="G100" s="5"/>
      <c r="H100" s="3" t="s">
        <v>255</v>
      </c>
      <c r="I100" s="3" t="str">
        <f t="shared" si="2"/>
        <v>7/13-03-2013</v>
      </c>
      <c r="J100" s="4">
        <v>41346</v>
      </c>
      <c r="K100" s="6">
        <v>0.79166666666666663</v>
      </c>
      <c r="L100" s="3">
        <v>11</v>
      </c>
      <c r="M100" s="3" t="s">
        <v>256</v>
      </c>
      <c r="N100" s="3" t="s">
        <v>256</v>
      </c>
      <c r="O100" s="5"/>
      <c r="P100" s="3" t="s">
        <v>22</v>
      </c>
      <c r="Q100" s="7"/>
      <c r="R100" s="7"/>
    </row>
    <row r="101" spans="1:18" ht="63.75" x14ac:dyDescent="0.25">
      <c r="A101" s="3" t="s">
        <v>18</v>
      </c>
      <c r="B101" s="3">
        <v>2013</v>
      </c>
      <c r="C101" s="3" t="s">
        <v>19</v>
      </c>
      <c r="D101" s="3" t="str">
        <f>"147/2013"</f>
        <v>147/2013</v>
      </c>
      <c r="E101" s="4">
        <v>41353</v>
      </c>
      <c r="F101" s="3" t="s">
        <v>257</v>
      </c>
      <c r="G101" s="5"/>
      <c r="H101" s="3" t="s">
        <v>258</v>
      </c>
      <c r="I101" s="3" t="str">
        <f t="shared" si="2"/>
        <v>7/13-03-2013</v>
      </c>
      <c r="J101" s="4">
        <v>41346</v>
      </c>
      <c r="K101" s="6">
        <v>0.79166666666666663</v>
      </c>
      <c r="L101" s="3">
        <v>12</v>
      </c>
      <c r="M101" s="3" t="s">
        <v>259</v>
      </c>
      <c r="N101" s="3" t="s">
        <v>259</v>
      </c>
      <c r="O101" s="5"/>
      <c r="P101" s="3" t="s">
        <v>22</v>
      </c>
      <c r="Q101" s="7"/>
      <c r="R101" s="7"/>
    </row>
    <row r="102" spans="1:18" ht="38.25" x14ac:dyDescent="0.25">
      <c r="A102" s="3" t="s">
        <v>18</v>
      </c>
      <c r="B102" s="3">
        <v>2013</v>
      </c>
      <c r="C102" s="3" t="s">
        <v>19</v>
      </c>
      <c r="D102" s="3" t="str">
        <f>"148/2013"</f>
        <v>148/2013</v>
      </c>
      <c r="E102" s="4">
        <v>41355</v>
      </c>
      <c r="F102" s="3" t="s">
        <v>260</v>
      </c>
      <c r="G102" s="5"/>
      <c r="H102" s="3" t="s">
        <v>261</v>
      </c>
      <c r="I102" s="3" t="str">
        <f t="shared" si="2"/>
        <v>7/13-03-2013</v>
      </c>
      <c r="J102" s="4">
        <v>41346</v>
      </c>
      <c r="K102" s="6">
        <v>0.79166666666666663</v>
      </c>
      <c r="L102" s="3">
        <v>13</v>
      </c>
      <c r="M102" s="5"/>
      <c r="N102" s="5"/>
      <c r="O102" s="5"/>
      <c r="P102" s="3" t="s">
        <v>22</v>
      </c>
      <c r="Q102" s="7"/>
      <c r="R102" s="7"/>
    </row>
    <row r="103" spans="1:18" ht="63.75" x14ac:dyDescent="0.25">
      <c r="A103" s="3" t="s">
        <v>18</v>
      </c>
      <c r="B103" s="3">
        <v>2013</v>
      </c>
      <c r="C103" s="3" t="s">
        <v>19</v>
      </c>
      <c r="D103" s="3" t="str">
        <f>"149/2013"</f>
        <v>149/2013</v>
      </c>
      <c r="E103" s="4">
        <v>41354</v>
      </c>
      <c r="F103" s="3" t="s">
        <v>262</v>
      </c>
      <c r="G103" s="5"/>
      <c r="H103" s="3" t="s">
        <v>263</v>
      </c>
      <c r="I103" s="3" t="str">
        <f t="shared" si="2"/>
        <v>7/13-03-2013</v>
      </c>
      <c r="J103" s="4">
        <v>41346</v>
      </c>
      <c r="K103" s="6">
        <v>0.79166666666666663</v>
      </c>
      <c r="L103" s="3">
        <v>14</v>
      </c>
      <c r="M103" s="3" t="s">
        <v>264</v>
      </c>
      <c r="N103" s="3" t="s">
        <v>264</v>
      </c>
      <c r="O103" s="5"/>
      <c r="P103" s="3" t="s">
        <v>22</v>
      </c>
      <c r="Q103" s="7"/>
      <c r="R103" s="7"/>
    </row>
    <row r="104" spans="1:18" ht="76.5" x14ac:dyDescent="0.25">
      <c r="A104" s="3" t="s">
        <v>18</v>
      </c>
      <c r="B104" s="3">
        <v>2013</v>
      </c>
      <c r="C104" s="3" t="s">
        <v>19</v>
      </c>
      <c r="D104" s="3" t="str">
        <f>"150/2013"</f>
        <v>150/2013</v>
      </c>
      <c r="E104" s="4">
        <v>41360</v>
      </c>
      <c r="F104" s="3" t="s">
        <v>265</v>
      </c>
      <c r="G104" s="5"/>
      <c r="H104" s="3" t="s">
        <v>266</v>
      </c>
      <c r="I104" s="3" t="str">
        <f t="shared" si="2"/>
        <v>7/13-03-2013</v>
      </c>
      <c r="J104" s="4">
        <v>41346</v>
      </c>
      <c r="K104" s="6">
        <v>0.79166666666666663</v>
      </c>
      <c r="L104" s="3">
        <v>15</v>
      </c>
      <c r="M104" s="3" t="s">
        <v>173</v>
      </c>
      <c r="N104" s="3" t="s">
        <v>173</v>
      </c>
      <c r="O104" s="5"/>
      <c r="P104" s="3" t="s">
        <v>22</v>
      </c>
      <c r="Q104" s="7"/>
      <c r="R104" s="7"/>
    </row>
    <row r="105" spans="1:18" ht="51" x14ac:dyDescent="0.25">
      <c r="A105" s="3" t="s">
        <v>18</v>
      </c>
      <c r="B105" s="3">
        <v>2013</v>
      </c>
      <c r="C105" s="3" t="s">
        <v>19</v>
      </c>
      <c r="D105" s="3" t="str">
        <f>"151/2013"</f>
        <v>151/2013</v>
      </c>
      <c r="E105" s="4">
        <v>41354</v>
      </c>
      <c r="F105" s="3" t="s">
        <v>267</v>
      </c>
      <c r="G105" s="5"/>
      <c r="H105" s="3" t="s">
        <v>268</v>
      </c>
      <c r="I105" s="3" t="str">
        <f t="shared" si="2"/>
        <v>7/13-03-2013</v>
      </c>
      <c r="J105" s="4">
        <v>41346</v>
      </c>
      <c r="K105" s="6">
        <v>0.79166666666666663</v>
      </c>
      <c r="L105" s="3">
        <v>16</v>
      </c>
      <c r="M105" s="3" t="s">
        <v>269</v>
      </c>
      <c r="N105" s="5"/>
      <c r="O105" s="5"/>
      <c r="P105" s="3" t="s">
        <v>22</v>
      </c>
      <c r="Q105" s="7"/>
      <c r="R105" s="7"/>
    </row>
    <row r="106" spans="1:18" ht="153" x14ac:dyDescent="0.25">
      <c r="A106" s="3" t="s">
        <v>18</v>
      </c>
      <c r="B106" s="3">
        <v>2013</v>
      </c>
      <c r="C106" s="3" t="s">
        <v>19</v>
      </c>
      <c r="D106" s="3" t="str">
        <f>"152/2013"</f>
        <v>152/2013</v>
      </c>
      <c r="E106" s="4">
        <v>41359</v>
      </c>
      <c r="F106" s="3" t="s">
        <v>270</v>
      </c>
      <c r="G106" s="5"/>
      <c r="H106" s="3" t="s">
        <v>271</v>
      </c>
      <c r="I106" s="3" t="str">
        <f t="shared" si="2"/>
        <v>7/13-03-2013</v>
      </c>
      <c r="J106" s="4">
        <v>41346</v>
      </c>
      <c r="K106" s="6">
        <v>0.79166666666666663</v>
      </c>
      <c r="L106" s="3">
        <v>17</v>
      </c>
      <c r="M106" s="3" t="s">
        <v>241</v>
      </c>
      <c r="N106" s="3" t="s">
        <v>241</v>
      </c>
      <c r="O106" s="5"/>
      <c r="P106" s="3" t="s">
        <v>22</v>
      </c>
      <c r="Q106" s="7"/>
      <c r="R106" s="7"/>
    </row>
    <row r="107" spans="1:18" ht="63.75" x14ac:dyDescent="0.25">
      <c r="A107" s="3" t="s">
        <v>18</v>
      </c>
      <c r="B107" s="3">
        <v>2013</v>
      </c>
      <c r="C107" s="3" t="s">
        <v>19</v>
      </c>
      <c r="D107" s="3" t="str">
        <f>"153/2013"</f>
        <v>153/2013</v>
      </c>
      <c r="E107" s="4">
        <v>41361</v>
      </c>
      <c r="F107" s="3" t="s">
        <v>272</v>
      </c>
      <c r="G107" s="5"/>
      <c r="H107" s="3" t="s">
        <v>273</v>
      </c>
      <c r="I107" s="3" t="str">
        <f t="shared" si="2"/>
        <v>7/13-03-2013</v>
      </c>
      <c r="J107" s="4">
        <v>41346</v>
      </c>
      <c r="K107" s="6">
        <v>0.79166666666666663</v>
      </c>
      <c r="L107" s="3">
        <v>18</v>
      </c>
      <c r="M107" s="3" t="s">
        <v>53</v>
      </c>
      <c r="N107" s="3" t="s">
        <v>53</v>
      </c>
      <c r="O107" s="5"/>
      <c r="P107" s="3" t="s">
        <v>22</v>
      </c>
      <c r="Q107" s="7"/>
      <c r="R107" s="7"/>
    </row>
    <row r="108" spans="1:18" ht="63.75" x14ac:dyDescent="0.25">
      <c r="A108" s="3" t="s">
        <v>18</v>
      </c>
      <c r="B108" s="3">
        <v>2013</v>
      </c>
      <c r="C108" s="3" t="s">
        <v>19</v>
      </c>
      <c r="D108" s="3" t="str">
        <f>"154/2013"</f>
        <v>154/2013</v>
      </c>
      <c r="E108" s="4">
        <v>41346</v>
      </c>
      <c r="F108" s="3" t="s">
        <v>274</v>
      </c>
      <c r="G108" s="5"/>
      <c r="H108" s="3" t="s">
        <v>275</v>
      </c>
      <c r="I108" s="3" t="str">
        <f t="shared" si="2"/>
        <v>7/13-03-2013</v>
      </c>
      <c r="J108" s="4">
        <v>41346</v>
      </c>
      <c r="K108" s="6">
        <v>0.79166666666666663</v>
      </c>
      <c r="L108" s="3">
        <v>18</v>
      </c>
      <c r="M108" s="3" t="s">
        <v>53</v>
      </c>
      <c r="N108" s="3" t="s">
        <v>53</v>
      </c>
      <c r="O108" s="5"/>
      <c r="P108" s="3" t="s">
        <v>22</v>
      </c>
      <c r="Q108" s="7"/>
      <c r="R108" s="7"/>
    </row>
    <row r="109" spans="1:18" ht="63.75" x14ac:dyDescent="0.25">
      <c r="A109" s="3" t="s">
        <v>18</v>
      </c>
      <c r="B109" s="3">
        <v>2013</v>
      </c>
      <c r="C109" s="3" t="s">
        <v>19</v>
      </c>
      <c r="D109" s="3" t="str">
        <f>"155/2013"</f>
        <v>155/2013</v>
      </c>
      <c r="E109" s="4">
        <v>41365</v>
      </c>
      <c r="F109" s="3" t="s">
        <v>276</v>
      </c>
      <c r="G109" s="5"/>
      <c r="H109" s="3" t="s">
        <v>277</v>
      </c>
      <c r="I109" s="3" t="str">
        <f t="shared" si="2"/>
        <v>7/13-03-2013</v>
      </c>
      <c r="J109" s="4">
        <v>41346</v>
      </c>
      <c r="K109" s="6">
        <v>0.79166666666666663</v>
      </c>
      <c r="L109" s="3">
        <v>18</v>
      </c>
      <c r="M109" s="3" t="s">
        <v>53</v>
      </c>
      <c r="N109" s="3" t="s">
        <v>53</v>
      </c>
      <c r="O109" s="5"/>
      <c r="P109" s="3" t="s">
        <v>22</v>
      </c>
      <c r="Q109" s="7"/>
      <c r="R109" s="7"/>
    </row>
    <row r="110" spans="1:18" ht="76.5" x14ac:dyDescent="0.25">
      <c r="A110" s="3" t="s">
        <v>18</v>
      </c>
      <c r="B110" s="3">
        <v>2013</v>
      </c>
      <c r="C110" s="3" t="s">
        <v>19</v>
      </c>
      <c r="D110" s="3" t="str">
        <f>"156/2013"</f>
        <v>156/2013</v>
      </c>
      <c r="E110" s="4">
        <v>41352</v>
      </c>
      <c r="F110" s="3" t="s">
        <v>278</v>
      </c>
      <c r="G110" s="5"/>
      <c r="H110" s="3" t="s">
        <v>279</v>
      </c>
      <c r="I110" s="3" t="str">
        <f t="shared" si="2"/>
        <v>7/13-03-2013</v>
      </c>
      <c r="J110" s="4">
        <v>41346</v>
      </c>
      <c r="K110" s="6">
        <v>0.79166666666666663</v>
      </c>
      <c r="L110" s="3">
        <v>19</v>
      </c>
      <c r="M110" s="3" t="s">
        <v>280</v>
      </c>
      <c r="N110" s="3" t="s">
        <v>280</v>
      </c>
      <c r="O110" s="5"/>
      <c r="P110" s="3" t="s">
        <v>22</v>
      </c>
      <c r="Q110" s="7"/>
      <c r="R110" s="7"/>
    </row>
    <row r="111" spans="1:18" ht="76.5" x14ac:dyDescent="0.25">
      <c r="A111" s="3" t="s">
        <v>18</v>
      </c>
      <c r="B111" s="3">
        <v>2013</v>
      </c>
      <c r="C111" s="3" t="s">
        <v>19</v>
      </c>
      <c r="D111" s="3" t="str">
        <f>"157 / 2013"</f>
        <v>157 / 2013</v>
      </c>
      <c r="E111" s="4">
        <v>41341</v>
      </c>
      <c r="F111" s="3" t="s">
        <v>281</v>
      </c>
      <c r="G111" s="5"/>
      <c r="H111" s="3" t="s">
        <v>282</v>
      </c>
      <c r="I111" s="3" t="str">
        <f>"7 / 13-03-2013"</f>
        <v>7 / 13-03-2013</v>
      </c>
      <c r="J111" s="4">
        <v>41346</v>
      </c>
      <c r="K111" s="6">
        <v>0.79166666666666663</v>
      </c>
      <c r="L111" s="3">
        <v>20</v>
      </c>
      <c r="M111" s="3" t="s">
        <v>283</v>
      </c>
      <c r="N111" s="3" t="s">
        <v>283</v>
      </c>
      <c r="O111" s="5"/>
      <c r="P111" s="3" t="s">
        <v>22</v>
      </c>
      <c r="Q111" s="7"/>
      <c r="R111" s="7"/>
    </row>
    <row r="112" spans="1:18" ht="102" x14ac:dyDescent="0.25">
      <c r="A112" s="3" t="s">
        <v>18</v>
      </c>
      <c r="B112" s="3">
        <v>2013</v>
      </c>
      <c r="C112" s="3" t="s">
        <v>19</v>
      </c>
      <c r="D112" s="3" t="str">
        <f>"158 / 2013"</f>
        <v>158 / 2013</v>
      </c>
      <c r="E112" s="4">
        <v>41360</v>
      </c>
      <c r="F112" s="3" t="s">
        <v>284</v>
      </c>
      <c r="G112" s="5"/>
      <c r="H112" s="3" t="s">
        <v>285</v>
      </c>
      <c r="I112" s="3" t="str">
        <f>"7 / 13-03-2013"</f>
        <v>7 / 13-03-2013</v>
      </c>
      <c r="J112" s="4">
        <v>41346</v>
      </c>
      <c r="K112" s="6">
        <v>0.79166666666666663</v>
      </c>
      <c r="L112" s="3">
        <v>21</v>
      </c>
      <c r="M112" s="3" t="s">
        <v>286</v>
      </c>
      <c r="N112" s="3" t="s">
        <v>286</v>
      </c>
      <c r="O112" s="5"/>
      <c r="P112" s="3" t="s">
        <v>22</v>
      </c>
      <c r="Q112" s="7"/>
      <c r="R112" s="7"/>
    </row>
    <row r="113" spans="1:18" ht="102" x14ac:dyDescent="0.25">
      <c r="A113" s="3" t="s">
        <v>18</v>
      </c>
      <c r="B113" s="3">
        <v>2013</v>
      </c>
      <c r="C113" s="3" t="s">
        <v>19</v>
      </c>
      <c r="D113" s="3" t="str">
        <f>"159 / 2013"</f>
        <v>159 / 2013</v>
      </c>
      <c r="E113" s="4">
        <v>41360</v>
      </c>
      <c r="F113" s="3" t="s">
        <v>287</v>
      </c>
      <c r="G113" s="5"/>
      <c r="H113" s="3" t="s">
        <v>288</v>
      </c>
      <c r="I113" s="3" t="str">
        <f>"7 / 13-03-2013"</f>
        <v>7 / 13-03-2013</v>
      </c>
      <c r="J113" s="4">
        <v>41346</v>
      </c>
      <c r="K113" s="6">
        <v>0.79166666666666663</v>
      </c>
      <c r="L113" s="3">
        <v>21</v>
      </c>
      <c r="M113" s="3" t="s">
        <v>286</v>
      </c>
      <c r="N113" s="3" t="s">
        <v>286</v>
      </c>
      <c r="O113" s="5"/>
      <c r="P113" s="3" t="s">
        <v>22</v>
      </c>
      <c r="Q113" s="7"/>
      <c r="R113" s="7"/>
    </row>
    <row r="114" spans="1:18" ht="102" x14ac:dyDescent="0.25">
      <c r="A114" s="3" t="s">
        <v>18</v>
      </c>
      <c r="B114" s="3">
        <v>2013</v>
      </c>
      <c r="C114" s="3" t="s">
        <v>19</v>
      </c>
      <c r="D114" s="3" t="str">
        <f>"16/2013"</f>
        <v>16/2013</v>
      </c>
      <c r="E114" s="4">
        <v>41297</v>
      </c>
      <c r="F114" s="3" t="s">
        <v>289</v>
      </c>
      <c r="G114" s="5"/>
      <c r="H114" s="3" t="s">
        <v>290</v>
      </c>
      <c r="I114" s="3" t="str">
        <f>"3/23-01-2013"</f>
        <v>3/23-01-2013</v>
      </c>
      <c r="J114" s="4">
        <v>41297</v>
      </c>
      <c r="K114" s="6">
        <v>0.8125</v>
      </c>
      <c r="L114" s="3">
        <v>9</v>
      </c>
      <c r="M114" s="3" t="s">
        <v>25</v>
      </c>
      <c r="N114" s="3" t="s">
        <v>25</v>
      </c>
      <c r="O114" s="5"/>
      <c r="P114" s="3" t="s">
        <v>22</v>
      </c>
      <c r="Q114" s="7"/>
      <c r="R114" s="7"/>
    </row>
    <row r="115" spans="1:18" ht="102" x14ac:dyDescent="0.25">
      <c r="A115" s="3" t="s">
        <v>18</v>
      </c>
      <c r="B115" s="3">
        <v>2013</v>
      </c>
      <c r="C115" s="3" t="s">
        <v>19</v>
      </c>
      <c r="D115" s="3" t="str">
        <f>"160/2013"</f>
        <v>160/2013</v>
      </c>
      <c r="E115" s="4">
        <v>41360</v>
      </c>
      <c r="F115" s="3" t="s">
        <v>291</v>
      </c>
      <c r="G115" s="5"/>
      <c r="H115" s="3" t="s">
        <v>292</v>
      </c>
      <c r="I115" s="3" t="str">
        <f t="shared" ref="I115:I130" si="3">"7 / 13-03-2013"</f>
        <v>7 / 13-03-2013</v>
      </c>
      <c r="J115" s="4">
        <v>41346</v>
      </c>
      <c r="K115" s="6">
        <v>0.79166666666666663</v>
      </c>
      <c r="L115" s="3">
        <v>21</v>
      </c>
      <c r="M115" s="3" t="s">
        <v>286</v>
      </c>
      <c r="N115" s="3" t="s">
        <v>286</v>
      </c>
      <c r="O115" s="5"/>
      <c r="P115" s="3" t="s">
        <v>22</v>
      </c>
      <c r="Q115" s="7"/>
      <c r="R115" s="7"/>
    </row>
    <row r="116" spans="1:18" ht="102" x14ac:dyDescent="0.25">
      <c r="A116" s="3" t="s">
        <v>18</v>
      </c>
      <c r="B116" s="3">
        <v>2013</v>
      </c>
      <c r="C116" s="3" t="s">
        <v>19</v>
      </c>
      <c r="D116" s="3" t="str">
        <f>"161 / 2013"</f>
        <v>161 / 2013</v>
      </c>
      <c r="E116" s="4">
        <v>41360</v>
      </c>
      <c r="F116" s="3" t="s">
        <v>293</v>
      </c>
      <c r="G116" s="5"/>
      <c r="H116" s="3" t="s">
        <v>294</v>
      </c>
      <c r="I116" s="3" t="str">
        <f t="shared" si="3"/>
        <v>7 / 13-03-2013</v>
      </c>
      <c r="J116" s="4">
        <v>41346</v>
      </c>
      <c r="K116" s="6">
        <v>0.79166666666666663</v>
      </c>
      <c r="L116" s="3">
        <v>21</v>
      </c>
      <c r="M116" s="3" t="s">
        <v>286</v>
      </c>
      <c r="N116" s="3" t="s">
        <v>286</v>
      </c>
      <c r="O116" s="5"/>
      <c r="P116" s="3" t="s">
        <v>22</v>
      </c>
      <c r="Q116" s="7"/>
      <c r="R116" s="7"/>
    </row>
    <row r="117" spans="1:18" ht="63.75" x14ac:dyDescent="0.25">
      <c r="A117" s="3" t="s">
        <v>18</v>
      </c>
      <c r="B117" s="3">
        <v>2013</v>
      </c>
      <c r="C117" s="3" t="s">
        <v>19</v>
      </c>
      <c r="D117" s="3" t="str">
        <f>"162 / 2013"</f>
        <v>162 / 2013</v>
      </c>
      <c r="E117" s="4">
        <v>41360</v>
      </c>
      <c r="F117" s="3" t="s">
        <v>295</v>
      </c>
      <c r="G117" s="5"/>
      <c r="H117" s="3" t="s">
        <v>296</v>
      </c>
      <c r="I117" s="3" t="str">
        <f t="shared" si="3"/>
        <v>7 / 13-03-2013</v>
      </c>
      <c r="J117" s="4">
        <v>41346</v>
      </c>
      <c r="K117" s="6">
        <v>0.79166666666666663</v>
      </c>
      <c r="L117" s="3">
        <v>21</v>
      </c>
      <c r="M117" s="3" t="s">
        <v>56</v>
      </c>
      <c r="N117" s="3" t="s">
        <v>56</v>
      </c>
      <c r="O117" s="5"/>
      <c r="P117" s="3" t="s">
        <v>22</v>
      </c>
      <c r="Q117" s="7"/>
      <c r="R117" s="7"/>
    </row>
    <row r="118" spans="1:18" ht="102" x14ac:dyDescent="0.25">
      <c r="A118" s="3" t="s">
        <v>18</v>
      </c>
      <c r="B118" s="3">
        <v>2013</v>
      </c>
      <c r="C118" s="3" t="s">
        <v>19</v>
      </c>
      <c r="D118" s="3" t="str">
        <f>"163 / 2013"</f>
        <v>163 / 2013</v>
      </c>
      <c r="E118" s="4">
        <v>41360</v>
      </c>
      <c r="F118" s="3" t="s">
        <v>297</v>
      </c>
      <c r="G118" s="5"/>
      <c r="H118" s="3" t="s">
        <v>298</v>
      </c>
      <c r="I118" s="3" t="str">
        <f t="shared" si="3"/>
        <v>7 / 13-03-2013</v>
      </c>
      <c r="J118" s="4">
        <v>41346</v>
      </c>
      <c r="K118" s="6">
        <v>0.79166666666666663</v>
      </c>
      <c r="L118" s="3">
        <v>22</v>
      </c>
      <c r="M118" s="3" t="s">
        <v>56</v>
      </c>
      <c r="N118" s="3" t="s">
        <v>56</v>
      </c>
      <c r="O118" s="5"/>
      <c r="P118" s="3" t="s">
        <v>22</v>
      </c>
      <c r="Q118" s="7"/>
      <c r="R118" s="7"/>
    </row>
    <row r="119" spans="1:18" ht="38.25" x14ac:dyDescent="0.25">
      <c r="A119" s="3" t="s">
        <v>18</v>
      </c>
      <c r="B119" s="3">
        <v>2013</v>
      </c>
      <c r="C119" s="3" t="s">
        <v>19</v>
      </c>
      <c r="D119" s="3" t="str">
        <f>"164 / 2013"</f>
        <v>164 / 2013</v>
      </c>
      <c r="E119" s="4">
        <v>41352</v>
      </c>
      <c r="F119" s="3" t="s">
        <v>299</v>
      </c>
      <c r="G119" s="5"/>
      <c r="H119" s="3" t="s">
        <v>300</v>
      </c>
      <c r="I119" s="3" t="str">
        <f t="shared" si="3"/>
        <v>7 / 13-03-2013</v>
      </c>
      <c r="J119" s="4">
        <v>41346</v>
      </c>
      <c r="K119" s="6">
        <v>0.79166666666666663</v>
      </c>
      <c r="L119" s="3">
        <v>23</v>
      </c>
      <c r="M119" s="3" t="s">
        <v>56</v>
      </c>
      <c r="N119" s="3" t="s">
        <v>56</v>
      </c>
      <c r="O119" s="5"/>
      <c r="P119" s="3" t="s">
        <v>22</v>
      </c>
      <c r="Q119" s="7"/>
      <c r="R119" s="7"/>
    </row>
    <row r="120" spans="1:18" ht="63.75" x14ac:dyDescent="0.25">
      <c r="A120" s="3" t="s">
        <v>18</v>
      </c>
      <c r="B120" s="3">
        <v>2013</v>
      </c>
      <c r="C120" s="3" t="s">
        <v>19</v>
      </c>
      <c r="D120" s="3" t="str">
        <f>"165 / 2013"</f>
        <v>165 / 2013</v>
      </c>
      <c r="E120" s="4">
        <v>41354</v>
      </c>
      <c r="F120" s="3" t="s">
        <v>301</v>
      </c>
      <c r="G120" s="5"/>
      <c r="H120" s="3" t="s">
        <v>302</v>
      </c>
      <c r="I120" s="3" t="str">
        <f t="shared" si="3"/>
        <v>7 / 13-03-2013</v>
      </c>
      <c r="J120" s="4">
        <v>41346</v>
      </c>
      <c r="K120" s="6">
        <v>0.79166666666666663</v>
      </c>
      <c r="L120" s="3">
        <v>24</v>
      </c>
      <c r="M120" s="3" t="s">
        <v>303</v>
      </c>
      <c r="N120" s="3" t="s">
        <v>303</v>
      </c>
      <c r="O120" s="5"/>
      <c r="P120" s="3" t="s">
        <v>22</v>
      </c>
      <c r="Q120" s="7"/>
      <c r="R120" s="7"/>
    </row>
    <row r="121" spans="1:18" ht="63.75" x14ac:dyDescent="0.25">
      <c r="A121" s="3" t="s">
        <v>18</v>
      </c>
      <c r="B121" s="3">
        <v>2013</v>
      </c>
      <c r="C121" s="3" t="s">
        <v>19</v>
      </c>
      <c r="D121" s="3" t="str">
        <f>"166 / 2013"</f>
        <v>166 / 2013</v>
      </c>
      <c r="E121" s="4">
        <v>41355</v>
      </c>
      <c r="F121" s="3" t="s">
        <v>304</v>
      </c>
      <c r="G121" s="5"/>
      <c r="H121" s="3" t="s">
        <v>305</v>
      </c>
      <c r="I121" s="3" t="str">
        <f t="shared" si="3"/>
        <v>7 / 13-03-2013</v>
      </c>
      <c r="J121" s="4">
        <v>41346</v>
      </c>
      <c r="K121" s="6">
        <v>0.79166666666666663</v>
      </c>
      <c r="L121" s="3">
        <v>24</v>
      </c>
      <c r="M121" s="3" t="s">
        <v>188</v>
      </c>
      <c r="N121" s="3" t="s">
        <v>188</v>
      </c>
      <c r="O121" s="5"/>
      <c r="P121" s="3" t="s">
        <v>22</v>
      </c>
      <c r="Q121" s="7"/>
      <c r="R121" s="7"/>
    </row>
    <row r="122" spans="1:18" ht="51" x14ac:dyDescent="0.25">
      <c r="A122" s="3" t="s">
        <v>18</v>
      </c>
      <c r="B122" s="3">
        <v>2013</v>
      </c>
      <c r="C122" s="3" t="s">
        <v>19</v>
      </c>
      <c r="D122" s="3" t="str">
        <f>"167 / 2013"</f>
        <v>167 / 2013</v>
      </c>
      <c r="E122" s="4">
        <v>41355</v>
      </c>
      <c r="F122" s="3" t="s">
        <v>306</v>
      </c>
      <c r="G122" s="5"/>
      <c r="H122" s="3" t="s">
        <v>307</v>
      </c>
      <c r="I122" s="3" t="str">
        <f t="shared" si="3"/>
        <v>7 / 13-03-2013</v>
      </c>
      <c r="J122" s="4">
        <v>41346</v>
      </c>
      <c r="K122" s="6">
        <v>0.79166666666666663</v>
      </c>
      <c r="L122" s="3">
        <v>24</v>
      </c>
      <c r="M122" s="3" t="s">
        <v>188</v>
      </c>
      <c r="N122" s="3" t="s">
        <v>188</v>
      </c>
      <c r="O122" s="5"/>
      <c r="P122" s="3" t="s">
        <v>22</v>
      </c>
      <c r="Q122" s="7"/>
      <c r="R122" s="7"/>
    </row>
    <row r="123" spans="1:18" ht="51" x14ac:dyDescent="0.25">
      <c r="A123" s="3" t="s">
        <v>18</v>
      </c>
      <c r="B123" s="3">
        <v>2013</v>
      </c>
      <c r="C123" s="3" t="s">
        <v>19</v>
      </c>
      <c r="D123" s="3" t="str">
        <f>"168 / 2013"</f>
        <v>168 / 2013</v>
      </c>
      <c r="E123" s="4">
        <v>41355</v>
      </c>
      <c r="F123" s="3" t="s">
        <v>308</v>
      </c>
      <c r="G123" s="5"/>
      <c r="H123" s="3" t="s">
        <v>309</v>
      </c>
      <c r="I123" s="3" t="str">
        <f t="shared" si="3"/>
        <v>7 / 13-03-2013</v>
      </c>
      <c r="J123" s="4">
        <v>41346</v>
      </c>
      <c r="K123" s="6">
        <v>0.79166666666666663</v>
      </c>
      <c r="L123" s="3">
        <v>24</v>
      </c>
      <c r="M123" s="3" t="s">
        <v>188</v>
      </c>
      <c r="N123" s="3" t="s">
        <v>188</v>
      </c>
      <c r="O123" s="5"/>
      <c r="P123" s="3" t="s">
        <v>22</v>
      </c>
      <c r="Q123" s="7"/>
      <c r="R123" s="7"/>
    </row>
    <row r="124" spans="1:18" ht="51" x14ac:dyDescent="0.25">
      <c r="A124" s="3" t="s">
        <v>18</v>
      </c>
      <c r="B124" s="3">
        <v>2013</v>
      </c>
      <c r="C124" s="3" t="s">
        <v>19</v>
      </c>
      <c r="D124" s="3" t="str">
        <f>"169 / 2013"</f>
        <v>169 / 2013</v>
      </c>
      <c r="E124" s="4">
        <v>41355</v>
      </c>
      <c r="F124" s="3" t="s">
        <v>310</v>
      </c>
      <c r="G124" s="5"/>
      <c r="H124" s="3" t="s">
        <v>311</v>
      </c>
      <c r="I124" s="3" t="str">
        <f t="shared" si="3"/>
        <v>7 / 13-03-2013</v>
      </c>
      <c r="J124" s="4">
        <v>41346</v>
      </c>
      <c r="K124" s="6">
        <v>0.79166666666666663</v>
      </c>
      <c r="L124" s="3">
        <v>24</v>
      </c>
      <c r="M124" s="3" t="s">
        <v>132</v>
      </c>
      <c r="N124" s="3" t="s">
        <v>132</v>
      </c>
      <c r="O124" s="5"/>
      <c r="P124" s="3" t="s">
        <v>22</v>
      </c>
      <c r="Q124" s="7"/>
      <c r="R124" s="7"/>
    </row>
    <row r="125" spans="1:18" ht="63.75" x14ac:dyDescent="0.25">
      <c r="A125" s="3" t="s">
        <v>18</v>
      </c>
      <c r="B125" s="3">
        <v>2013</v>
      </c>
      <c r="C125" s="3" t="s">
        <v>19</v>
      </c>
      <c r="D125" s="3" t="str">
        <f>"170 / 2013"</f>
        <v>170 / 2013</v>
      </c>
      <c r="E125" s="4">
        <v>41355</v>
      </c>
      <c r="F125" s="3" t="s">
        <v>312</v>
      </c>
      <c r="G125" s="5"/>
      <c r="H125" s="3" t="s">
        <v>313</v>
      </c>
      <c r="I125" s="3" t="str">
        <f t="shared" si="3"/>
        <v>7 / 13-03-2013</v>
      </c>
      <c r="J125" s="4">
        <v>41346</v>
      </c>
      <c r="K125" s="6">
        <v>0.79166666666666663</v>
      </c>
      <c r="L125" s="3">
        <v>24</v>
      </c>
      <c r="M125" s="3" t="s">
        <v>132</v>
      </c>
      <c r="N125" s="3" t="s">
        <v>132</v>
      </c>
      <c r="O125" s="5"/>
      <c r="P125" s="3" t="s">
        <v>22</v>
      </c>
      <c r="Q125" s="7"/>
      <c r="R125" s="7"/>
    </row>
    <row r="126" spans="1:18" ht="63.75" x14ac:dyDescent="0.25">
      <c r="A126" s="3" t="s">
        <v>18</v>
      </c>
      <c r="B126" s="3">
        <v>2013</v>
      </c>
      <c r="C126" s="3" t="s">
        <v>19</v>
      </c>
      <c r="D126" s="3" t="str">
        <f>"171 / 2013"</f>
        <v>171 / 2013</v>
      </c>
      <c r="E126" s="4">
        <v>41355</v>
      </c>
      <c r="F126" s="3" t="s">
        <v>314</v>
      </c>
      <c r="G126" s="5"/>
      <c r="H126" s="3" t="s">
        <v>315</v>
      </c>
      <c r="I126" s="3" t="str">
        <f t="shared" si="3"/>
        <v>7 / 13-03-2013</v>
      </c>
      <c r="J126" s="4">
        <v>41346</v>
      </c>
      <c r="K126" s="6">
        <v>0.79166666666666663</v>
      </c>
      <c r="L126" s="3">
        <v>24</v>
      </c>
      <c r="M126" s="3" t="s">
        <v>132</v>
      </c>
      <c r="N126" s="3" t="s">
        <v>132</v>
      </c>
      <c r="O126" s="5"/>
      <c r="P126" s="3" t="s">
        <v>22</v>
      </c>
      <c r="Q126" s="7"/>
      <c r="R126" s="7"/>
    </row>
    <row r="127" spans="1:18" ht="63.75" x14ac:dyDescent="0.25">
      <c r="A127" s="3" t="s">
        <v>18</v>
      </c>
      <c r="B127" s="3">
        <v>2013</v>
      </c>
      <c r="C127" s="3" t="s">
        <v>19</v>
      </c>
      <c r="D127" s="3" t="str">
        <f>"172 / 2013"</f>
        <v>172 / 2013</v>
      </c>
      <c r="E127" s="4">
        <v>41359</v>
      </c>
      <c r="F127" s="3" t="s">
        <v>316</v>
      </c>
      <c r="G127" s="5"/>
      <c r="H127" s="3" t="s">
        <v>317</v>
      </c>
      <c r="I127" s="3" t="str">
        <f t="shared" si="3"/>
        <v>7 / 13-03-2013</v>
      </c>
      <c r="J127" s="4">
        <v>41346</v>
      </c>
      <c r="K127" s="6">
        <v>0.79166666666666663</v>
      </c>
      <c r="L127" s="3">
        <v>24</v>
      </c>
      <c r="M127" s="3" t="s">
        <v>132</v>
      </c>
      <c r="N127" s="3" t="s">
        <v>132</v>
      </c>
      <c r="O127" s="5"/>
      <c r="P127" s="3" t="s">
        <v>22</v>
      </c>
      <c r="Q127" s="7"/>
      <c r="R127" s="7"/>
    </row>
    <row r="128" spans="1:18" ht="63.75" x14ac:dyDescent="0.25">
      <c r="A128" s="3" t="s">
        <v>18</v>
      </c>
      <c r="B128" s="3">
        <v>2013</v>
      </c>
      <c r="C128" s="3" t="s">
        <v>19</v>
      </c>
      <c r="D128" s="3" t="str">
        <f>"173 / 2013"</f>
        <v>173 / 2013</v>
      </c>
      <c r="E128" s="4">
        <v>41359</v>
      </c>
      <c r="F128" s="3" t="s">
        <v>318</v>
      </c>
      <c r="G128" s="5"/>
      <c r="H128" s="3" t="s">
        <v>319</v>
      </c>
      <c r="I128" s="3" t="str">
        <f t="shared" si="3"/>
        <v>7 / 13-03-2013</v>
      </c>
      <c r="J128" s="4">
        <v>41346</v>
      </c>
      <c r="K128" s="6">
        <v>0.79166666666666663</v>
      </c>
      <c r="L128" s="3">
        <v>24</v>
      </c>
      <c r="M128" s="3" t="s">
        <v>132</v>
      </c>
      <c r="N128" s="3" t="s">
        <v>132</v>
      </c>
      <c r="O128" s="5"/>
      <c r="P128" s="3" t="s">
        <v>22</v>
      </c>
      <c r="Q128" s="7"/>
      <c r="R128" s="7"/>
    </row>
    <row r="129" spans="1:18" ht="63.75" x14ac:dyDescent="0.25">
      <c r="A129" s="3" t="s">
        <v>18</v>
      </c>
      <c r="B129" s="3">
        <v>2013</v>
      </c>
      <c r="C129" s="3" t="s">
        <v>19</v>
      </c>
      <c r="D129" s="3" t="str">
        <f>"174 / 2013"</f>
        <v>174 / 2013</v>
      </c>
      <c r="E129" s="4">
        <v>41359</v>
      </c>
      <c r="F129" s="3" t="s">
        <v>320</v>
      </c>
      <c r="G129" s="5"/>
      <c r="H129" s="3" t="s">
        <v>321</v>
      </c>
      <c r="I129" s="3" t="str">
        <f t="shared" si="3"/>
        <v>7 / 13-03-2013</v>
      </c>
      <c r="J129" s="4">
        <v>41346</v>
      </c>
      <c r="K129" s="6">
        <v>0.79166666666666663</v>
      </c>
      <c r="L129" s="3">
        <v>24</v>
      </c>
      <c r="M129" s="3" t="s">
        <v>132</v>
      </c>
      <c r="N129" s="3" t="s">
        <v>132</v>
      </c>
      <c r="O129" s="5"/>
      <c r="P129" s="3" t="s">
        <v>22</v>
      </c>
      <c r="Q129" s="7"/>
      <c r="R129" s="7"/>
    </row>
    <row r="130" spans="1:18" ht="114.75" x14ac:dyDescent="0.25">
      <c r="A130" s="3" t="s">
        <v>18</v>
      </c>
      <c r="B130" s="3">
        <v>2013</v>
      </c>
      <c r="C130" s="3" t="s">
        <v>19</v>
      </c>
      <c r="D130" s="3" t="str">
        <f>"176 / 2013"</f>
        <v>176 / 2013</v>
      </c>
      <c r="E130" s="4">
        <v>41361</v>
      </c>
      <c r="F130" s="3" t="s">
        <v>322</v>
      </c>
      <c r="G130" s="5"/>
      <c r="H130" s="3" t="s">
        <v>323</v>
      </c>
      <c r="I130" s="3" t="str">
        <f t="shared" si="3"/>
        <v>7 / 13-03-2013</v>
      </c>
      <c r="J130" s="4">
        <v>41346</v>
      </c>
      <c r="K130" s="6">
        <v>0.79166666666666663</v>
      </c>
      <c r="L130" s="5"/>
      <c r="M130" s="3" t="s">
        <v>324</v>
      </c>
      <c r="N130" s="3" t="s">
        <v>324</v>
      </c>
      <c r="O130" s="5"/>
      <c r="P130" s="3" t="s">
        <v>74</v>
      </c>
      <c r="Q130" s="7"/>
      <c r="R130" s="7"/>
    </row>
    <row r="131" spans="1:18" ht="89.25" x14ac:dyDescent="0.25">
      <c r="A131" s="3" t="s">
        <v>18</v>
      </c>
      <c r="B131" s="3">
        <v>2013</v>
      </c>
      <c r="C131" s="3" t="s">
        <v>19</v>
      </c>
      <c r="D131" s="3" t="str">
        <f>"177 / 2013"</f>
        <v>177 / 2013</v>
      </c>
      <c r="E131" s="4">
        <v>41381</v>
      </c>
      <c r="F131" s="3" t="s">
        <v>325</v>
      </c>
      <c r="G131" s="5"/>
      <c r="H131" s="3" t="s">
        <v>326</v>
      </c>
      <c r="I131" s="3" t="str">
        <f>"8 / 03-04-2013"</f>
        <v>8 / 03-04-2013</v>
      </c>
      <c r="J131" s="4">
        <v>41367</v>
      </c>
      <c r="K131" s="6">
        <v>0.79166666666666663</v>
      </c>
      <c r="L131" s="3">
        <v>1</v>
      </c>
      <c r="M131" s="3" t="s">
        <v>327</v>
      </c>
      <c r="N131" s="3" t="s">
        <v>327</v>
      </c>
      <c r="O131" s="5"/>
      <c r="P131" s="3" t="s">
        <v>22</v>
      </c>
      <c r="Q131" s="7"/>
      <c r="R131" s="7"/>
    </row>
    <row r="132" spans="1:18" ht="89.25" x14ac:dyDescent="0.25">
      <c r="A132" s="3" t="s">
        <v>18</v>
      </c>
      <c r="B132" s="3">
        <v>2013</v>
      </c>
      <c r="C132" s="3" t="s">
        <v>19</v>
      </c>
      <c r="D132" s="3" t="str">
        <f>"178 / 2013"</f>
        <v>178 / 2013</v>
      </c>
      <c r="E132" s="4">
        <v>41376</v>
      </c>
      <c r="F132" s="3" t="s">
        <v>328</v>
      </c>
      <c r="G132" s="5"/>
      <c r="H132" s="3" t="s">
        <v>329</v>
      </c>
      <c r="I132" s="3" t="str">
        <f>"8 / 03-04-2013"</f>
        <v>8 / 03-04-2013</v>
      </c>
      <c r="J132" s="4">
        <v>41367</v>
      </c>
      <c r="K132" s="6">
        <v>0.79166666666666663</v>
      </c>
      <c r="L132" s="3">
        <v>2</v>
      </c>
      <c r="M132" s="3" t="s">
        <v>330</v>
      </c>
      <c r="N132" s="3" t="s">
        <v>330</v>
      </c>
      <c r="O132" s="5"/>
      <c r="P132" s="3" t="s">
        <v>22</v>
      </c>
      <c r="Q132" s="7"/>
      <c r="R132" s="7"/>
    </row>
    <row r="133" spans="1:18" ht="114.75" x14ac:dyDescent="0.25">
      <c r="A133" s="3" t="s">
        <v>18</v>
      </c>
      <c r="B133" s="3">
        <v>2013</v>
      </c>
      <c r="C133" s="3" t="s">
        <v>19</v>
      </c>
      <c r="D133" s="3" t="str">
        <f>"179 / 2013"</f>
        <v>179 / 2013</v>
      </c>
      <c r="E133" s="4">
        <v>41376</v>
      </c>
      <c r="F133" s="3" t="s">
        <v>331</v>
      </c>
      <c r="G133" s="5"/>
      <c r="H133" s="3" t="s">
        <v>332</v>
      </c>
      <c r="I133" s="3" t="str">
        <f>"8 / 03-04-2013"</f>
        <v>8 / 03-04-2013</v>
      </c>
      <c r="J133" s="4">
        <v>41367</v>
      </c>
      <c r="K133" s="6">
        <v>0.79166666666666663</v>
      </c>
      <c r="L133" s="3">
        <v>3</v>
      </c>
      <c r="M133" s="3" t="s">
        <v>333</v>
      </c>
      <c r="N133" s="3" t="s">
        <v>333</v>
      </c>
      <c r="O133" s="5"/>
      <c r="P133" s="3" t="s">
        <v>74</v>
      </c>
      <c r="Q133" s="7"/>
      <c r="R133" s="7"/>
    </row>
    <row r="134" spans="1:18" ht="63.75" x14ac:dyDescent="0.25">
      <c r="A134" s="3" t="s">
        <v>18</v>
      </c>
      <c r="B134" s="3">
        <v>2013</v>
      </c>
      <c r="C134" s="3" t="s">
        <v>19</v>
      </c>
      <c r="D134" s="3" t="str">
        <f>"18/2013"</f>
        <v>18/2013</v>
      </c>
      <c r="E134" s="4">
        <v>41297</v>
      </c>
      <c r="F134" s="3" t="s">
        <v>334</v>
      </c>
      <c r="G134" s="5"/>
      <c r="H134" s="3" t="s">
        <v>335</v>
      </c>
      <c r="I134" s="3" t="str">
        <f>"3/23-01-2013"</f>
        <v>3/23-01-2013</v>
      </c>
      <c r="J134" s="4">
        <v>41297</v>
      </c>
      <c r="K134" s="6">
        <v>0.8125</v>
      </c>
      <c r="L134" s="3">
        <v>11</v>
      </c>
      <c r="M134" s="3" t="s">
        <v>25</v>
      </c>
      <c r="N134" s="3" t="s">
        <v>336</v>
      </c>
      <c r="O134" s="5"/>
      <c r="P134" s="3" t="s">
        <v>22</v>
      </c>
      <c r="Q134" s="7"/>
      <c r="R134" s="7"/>
    </row>
    <row r="135" spans="1:18" ht="63.75" x14ac:dyDescent="0.25">
      <c r="A135" s="3" t="s">
        <v>18</v>
      </c>
      <c r="B135" s="3">
        <v>2013</v>
      </c>
      <c r="C135" s="3" t="s">
        <v>19</v>
      </c>
      <c r="D135" s="3" t="str">
        <f>"180 / 2013"</f>
        <v>180 / 2013</v>
      </c>
      <c r="E135" s="4">
        <v>41368</v>
      </c>
      <c r="F135" s="3" t="s">
        <v>337</v>
      </c>
      <c r="G135" s="5"/>
      <c r="H135" s="3" t="s">
        <v>338</v>
      </c>
      <c r="I135" s="3" t="str">
        <f>"8 / 3-04-2013"</f>
        <v>8 / 3-04-2013</v>
      </c>
      <c r="J135" s="4">
        <v>41367</v>
      </c>
      <c r="K135" s="6">
        <v>0.79166666666666663</v>
      </c>
      <c r="L135" s="3">
        <v>4</v>
      </c>
      <c r="M135" s="3" t="s">
        <v>339</v>
      </c>
      <c r="N135" s="3" t="s">
        <v>339</v>
      </c>
      <c r="O135" s="5"/>
      <c r="P135" s="3" t="s">
        <v>22</v>
      </c>
      <c r="Q135" s="7"/>
      <c r="R135" s="7"/>
    </row>
    <row r="136" spans="1:18" ht="76.5" x14ac:dyDescent="0.25">
      <c r="A136" s="3" t="s">
        <v>18</v>
      </c>
      <c r="B136" s="3">
        <v>2013</v>
      </c>
      <c r="C136" s="3" t="s">
        <v>19</v>
      </c>
      <c r="D136" s="3" t="str">
        <f>"181 / 2013"</f>
        <v>181 / 2013</v>
      </c>
      <c r="E136" s="4">
        <v>41368</v>
      </c>
      <c r="F136" s="3" t="s">
        <v>340</v>
      </c>
      <c r="G136" s="5"/>
      <c r="H136" s="3" t="s">
        <v>341</v>
      </c>
      <c r="I136" s="3" t="str">
        <f>"8 / 3-04-2013"</f>
        <v>8 / 3-04-2013</v>
      </c>
      <c r="J136" s="4">
        <v>41367</v>
      </c>
      <c r="K136" s="6">
        <v>0.79166666666666663</v>
      </c>
      <c r="L136" s="3">
        <v>5</v>
      </c>
      <c r="M136" s="3" t="s">
        <v>339</v>
      </c>
      <c r="N136" s="3" t="s">
        <v>339</v>
      </c>
      <c r="O136" s="5"/>
      <c r="P136" s="3" t="s">
        <v>22</v>
      </c>
      <c r="Q136" s="7"/>
      <c r="R136" s="7"/>
    </row>
    <row r="137" spans="1:18" ht="89.25" x14ac:dyDescent="0.25">
      <c r="A137" s="3" t="s">
        <v>18</v>
      </c>
      <c r="B137" s="3">
        <v>2013</v>
      </c>
      <c r="C137" s="3" t="s">
        <v>19</v>
      </c>
      <c r="D137" s="3" t="str">
        <f>"182 / 2013"</f>
        <v>182 / 2013</v>
      </c>
      <c r="E137" s="4">
        <v>41369</v>
      </c>
      <c r="F137" s="3" t="s">
        <v>342</v>
      </c>
      <c r="G137" s="5"/>
      <c r="H137" s="3" t="s">
        <v>343</v>
      </c>
      <c r="I137" s="3" t="str">
        <f t="shared" ref="I137:I144" si="4">"8 / 03-04-2013"</f>
        <v>8 / 03-04-2013</v>
      </c>
      <c r="J137" s="4">
        <v>41367</v>
      </c>
      <c r="K137" s="6">
        <v>0.79166666666666663</v>
      </c>
      <c r="L137" s="3">
        <v>6</v>
      </c>
      <c r="M137" s="3" t="s">
        <v>333</v>
      </c>
      <c r="N137" s="3" t="s">
        <v>333</v>
      </c>
      <c r="O137" s="5"/>
      <c r="P137" s="3" t="s">
        <v>22</v>
      </c>
      <c r="Q137" s="7"/>
      <c r="R137" s="7"/>
    </row>
    <row r="138" spans="1:18" ht="76.5" x14ac:dyDescent="0.25">
      <c r="A138" s="3" t="s">
        <v>18</v>
      </c>
      <c r="B138" s="3">
        <v>2013</v>
      </c>
      <c r="C138" s="3" t="s">
        <v>19</v>
      </c>
      <c r="D138" s="3" t="str">
        <f>"183 / 2013"</f>
        <v>183 / 2013</v>
      </c>
      <c r="E138" s="4">
        <v>41374</v>
      </c>
      <c r="F138" s="3" t="s">
        <v>344</v>
      </c>
      <c r="G138" s="5"/>
      <c r="H138" s="3" t="s">
        <v>345</v>
      </c>
      <c r="I138" s="3" t="str">
        <f t="shared" si="4"/>
        <v>8 / 03-04-2013</v>
      </c>
      <c r="J138" s="4">
        <v>41367</v>
      </c>
      <c r="K138" s="6">
        <v>0.79166666666666663</v>
      </c>
      <c r="L138" s="3">
        <v>7</v>
      </c>
      <c r="M138" s="3" t="s">
        <v>346</v>
      </c>
      <c r="N138" s="3" t="s">
        <v>346</v>
      </c>
      <c r="O138" s="5"/>
      <c r="P138" s="3" t="s">
        <v>22</v>
      </c>
      <c r="Q138" s="7"/>
      <c r="R138" s="7"/>
    </row>
    <row r="139" spans="1:18" ht="102" x14ac:dyDescent="0.25">
      <c r="A139" s="3" t="s">
        <v>18</v>
      </c>
      <c r="B139" s="3">
        <v>2013</v>
      </c>
      <c r="C139" s="3" t="s">
        <v>19</v>
      </c>
      <c r="D139" s="3" t="str">
        <f>"184 / 2013"</f>
        <v>184 / 2013</v>
      </c>
      <c r="E139" s="4">
        <v>41380</v>
      </c>
      <c r="F139" s="3" t="s">
        <v>347</v>
      </c>
      <c r="G139" s="5"/>
      <c r="H139" s="3" t="s">
        <v>348</v>
      </c>
      <c r="I139" s="3" t="str">
        <f t="shared" si="4"/>
        <v>8 / 03-04-2013</v>
      </c>
      <c r="J139" s="4">
        <v>41367</v>
      </c>
      <c r="K139" s="6">
        <v>0.79166666666666663</v>
      </c>
      <c r="L139" s="3">
        <v>8</v>
      </c>
      <c r="M139" s="3" t="s">
        <v>349</v>
      </c>
      <c r="N139" s="3" t="s">
        <v>349</v>
      </c>
      <c r="O139" s="5"/>
      <c r="P139" s="3" t="s">
        <v>22</v>
      </c>
      <c r="Q139" s="7"/>
      <c r="R139" s="7"/>
    </row>
    <row r="140" spans="1:18" ht="76.5" x14ac:dyDescent="0.25">
      <c r="A140" s="3" t="s">
        <v>18</v>
      </c>
      <c r="B140" s="3">
        <v>2013</v>
      </c>
      <c r="C140" s="3" t="s">
        <v>19</v>
      </c>
      <c r="D140" s="3" t="str">
        <f>"185 / 2013"</f>
        <v>185 / 2013</v>
      </c>
      <c r="E140" s="4">
        <v>41376</v>
      </c>
      <c r="F140" s="3" t="s">
        <v>350</v>
      </c>
      <c r="G140" s="5"/>
      <c r="H140" s="3" t="s">
        <v>351</v>
      </c>
      <c r="I140" s="3" t="str">
        <f t="shared" si="4"/>
        <v>8 / 03-04-2013</v>
      </c>
      <c r="J140" s="4">
        <v>41367</v>
      </c>
      <c r="K140" s="6">
        <v>0.79166666666666663</v>
      </c>
      <c r="L140" s="3">
        <v>9</v>
      </c>
      <c r="M140" s="3" t="s">
        <v>352</v>
      </c>
      <c r="N140" s="3" t="s">
        <v>352</v>
      </c>
      <c r="O140" s="5"/>
      <c r="P140" s="3" t="s">
        <v>22</v>
      </c>
      <c r="Q140" s="7"/>
      <c r="R140" s="7"/>
    </row>
    <row r="141" spans="1:18" ht="89.25" x14ac:dyDescent="0.25">
      <c r="A141" s="3" t="s">
        <v>18</v>
      </c>
      <c r="B141" s="3">
        <v>2013</v>
      </c>
      <c r="C141" s="3" t="s">
        <v>19</v>
      </c>
      <c r="D141" s="3" t="str">
        <f>"186 / 2013"</f>
        <v>186 / 2013</v>
      </c>
      <c r="E141" s="4">
        <v>41369</v>
      </c>
      <c r="F141" s="3" t="s">
        <v>353</v>
      </c>
      <c r="G141" s="5"/>
      <c r="H141" s="3" t="s">
        <v>354</v>
      </c>
      <c r="I141" s="3" t="str">
        <f t="shared" si="4"/>
        <v>8 / 03-04-2013</v>
      </c>
      <c r="J141" s="4">
        <v>41367</v>
      </c>
      <c r="K141" s="6">
        <v>0.79166666666666663</v>
      </c>
      <c r="L141" s="3">
        <v>10</v>
      </c>
      <c r="M141" s="3" t="s">
        <v>355</v>
      </c>
      <c r="N141" s="3" t="s">
        <v>355</v>
      </c>
      <c r="O141" s="5"/>
      <c r="P141" s="3" t="s">
        <v>22</v>
      </c>
      <c r="Q141" s="7"/>
      <c r="R141" s="7"/>
    </row>
    <row r="142" spans="1:18" ht="89.25" x14ac:dyDescent="0.25">
      <c r="A142" s="3" t="s">
        <v>18</v>
      </c>
      <c r="B142" s="3">
        <v>2013</v>
      </c>
      <c r="C142" s="3" t="s">
        <v>19</v>
      </c>
      <c r="D142" s="3" t="str">
        <f>"187 / 2013"</f>
        <v>187 / 2013</v>
      </c>
      <c r="E142" s="4">
        <v>41369</v>
      </c>
      <c r="F142" s="3" t="s">
        <v>356</v>
      </c>
      <c r="G142" s="5"/>
      <c r="H142" s="3" t="s">
        <v>357</v>
      </c>
      <c r="I142" s="3" t="str">
        <f t="shared" si="4"/>
        <v>8 / 03-04-2013</v>
      </c>
      <c r="J142" s="4">
        <v>41367</v>
      </c>
      <c r="K142" s="6">
        <v>0.79166666666666663</v>
      </c>
      <c r="L142" s="3">
        <v>10</v>
      </c>
      <c r="M142" s="3" t="s">
        <v>355</v>
      </c>
      <c r="N142" s="3" t="s">
        <v>355</v>
      </c>
      <c r="O142" s="5"/>
      <c r="P142" s="3" t="s">
        <v>22</v>
      </c>
      <c r="Q142" s="7"/>
      <c r="R142" s="7"/>
    </row>
    <row r="143" spans="1:18" ht="89.25" x14ac:dyDescent="0.25">
      <c r="A143" s="3" t="s">
        <v>18</v>
      </c>
      <c r="B143" s="3">
        <v>2013</v>
      </c>
      <c r="C143" s="3" t="s">
        <v>19</v>
      </c>
      <c r="D143" s="3" t="str">
        <f>"188 / 2013"</f>
        <v>188 / 2013</v>
      </c>
      <c r="E143" s="4">
        <v>41369</v>
      </c>
      <c r="F143" s="3" t="s">
        <v>358</v>
      </c>
      <c r="G143" s="5"/>
      <c r="H143" s="3" t="s">
        <v>354</v>
      </c>
      <c r="I143" s="3" t="str">
        <f t="shared" si="4"/>
        <v>8 / 03-04-2013</v>
      </c>
      <c r="J143" s="4">
        <v>41367</v>
      </c>
      <c r="K143" s="6">
        <v>0.79166666666666663</v>
      </c>
      <c r="L143" s="3">
        <v>10</v>
      </c>
      <c r="M143" s="3" t="s">
        <v>355</v>
      </c>
      <c r="N143" s="3" t="s">
        <v>355</v>
      </c>
      <c r="O143" s="5"/>
      <c r="P143" s="3" t="s">
        <v>22</v>
      </c>
      <c r="Q143" s="7"/>
      <c r="R143" s="7"/>
    </row>
    <row r="144" spans="1:18" ht="89.25" x14ac:dyDescent="0.25">
      <c r="A144" s="3" t="s">
        <v>18</v>
      </c>
      <c r="B144" s="3">
        <v>2013</v>
      </c>
      <c r="C144" s="3" t="s">
        <v>19</v>
      </c>
      <c r="D144" s="3" t="str">
        <f>"189 / 2013"</f>
        <v>189 / 2013</v>
      </c>
      <c r="E144" s="4">
        <v>41369</v>
      </c>
      <c r="F144" s="3" t="s">
        <v>359</v>
      </c>
      <c r="G144" s="5"/>
      <c r="H144" s="3" t="s">
        <v>354</v>
      </c>
      <c r="I144" s="3" t="str">
        <f t="shared" si="4"/>
        <v>8 / 03-04-2013</v>
      </c>
      <c r="J144" s="4">
        <v>41367</v>
      </c>
      <c r="K144" s="6">
        <v>0.79166666666666663</v>
      </c>
      <c r="L144" s="3">
        <v>10</v>
      </c>
      <c r="M144" s="3" t="s">
        <v>355</v>
      </c>
      <c r="N144" s="3" t="s">
        <v>355</v>
      </c>
      <c r="O144" s="5"/>
      <c r="P144" s="3" t="s">
        <v>22</v>
      </c>
      <c r="Q144" s="7"/>
      <c r="R144" s="7"/>
    </row>
    <row r="145" spans="1:18" ht="76.5" x14ac:dyDescent="0.25">
      <c r="A145" s="3" t="s">
        <v>18</v>
      </c>
      <c r="B145" s="3">
        <v>2013</v>
      </c>
      <c r="C145" s="3" t="s">
        <v>19</v>
      </c>
      <c r="D145" s="3" t="str">
        <f>"19/2013"</f>
        <v>19/2013</v>
      </c>
      <c r="E145" s="4">
        <v>41297</v>
      </c>
      <c r="F145" s="3" t="s">
        <v>360</v>
      </c>
      <c r="G145" s="5"/>
      <c r="H145" s="3" t="s">
        <v>361</v>
      </c>
      <c r="I145" s="3" t="str">
        <f>"3/23-01-2013"</f>
        <v>3/23-01-2013</v>
      </c>
      <c r="J145" s="4">
        <v>41297</v>
      </c>
      <c r="K145" s="6">
        <v>0.8125</v>
      </c>
      <c r="L145" s="3">
        <v>12</v>
      </c>
      <c r="M145" s="3" t="s">
        <v>25</v>
      </c>
      <c r="N145" s="3" t="s">
        <v>362</v>
      </c>
      <c r="O145" s="5"/>
      <c r="P145" s="3" t="s">
        <v>22</v>
      </c>
      <c r="Q145" s="7"/>
      <c r="R145" s="7"/>
    </row>
    <row r="146" spans="1:18" ht="89.25" x14ac:dyDescent="0.25">
      <c r="A146" s="3" t="s">
        <v>18</v>
      </c>
      <c r="B146" s="3">
        <v>2013</v>
      </c>
      <c r="C146" s="3" t="s">
        <v>19</v>
      </c>
      <c r="D146" s="3" t="str">
        <f>"190 / 2013"</f>
        <v>190 / 2013</v>
      </c>
      <c r="E146" s="4">
        <v>41369</v>
      </c>
      <c r="F146" s="3" t="s">
        <v>363</v>
      </c>
      <c r="G146" s="5"/>
      <c r="H146" s="3" t="s">
        <v>364</v>
      </c>
      <c r="I146" s="3" t="str">
        <f t="shared" ref="I146:I155" si="5">"8 / 03-04-2013"</f>
        <v>8 / 03-04-2013</v>
      </c>
      <c r="J146" s="4">
        <v>41367</v>
      </c>
      <c r="K146" s="6">
        <v>0.79166666666666663</v>
      </c>
      <c r="L146" s="3">
        <v>10</v>
      </c>
      <c r="M146" s="3" t="s">
        <v>355</v>
      </c>
      <c r="N146" s="3" t="s">
        <v>355</v>
      </c>
      <c r="O146" s="5"/>
      <c r="P146" s="3" t="s">
        <v>22</v>
      </c>
      <c r="Q146" s="7"/>
      <c r="R146" s="7"/>
    </row>
    <row r="147" spans="1:18" ht="89.25" x14ac:dyDescent="0.25">
      <c r="A147" s="3" t="s">
        <v>18</v>
      </c>
      <c r="B147" s="3">
        <v>2013</v>
      </c>
      <c r="C147" s="3" t="s">
        <v>19</v>
      </c>
      <c r="D147" s="3" t="str">
        <f>"191 / 2013"</f>
        <v>191 / 2013</v>
      </c>
      <c r="E147" s="4">
        <v>41369</v>
      </c>
      <c r="F147" s="3" t="s">
        <v>365</v>
      </c>
      <c r="G147" s="5"/>
      <c r="H147" s="3" t="s">
        <v>366</v>
      </c>
      <c r="I147" s="3" t="str">
        <f t="shared" si="5"/>
        <v>8 / 03-04-2013</v>
      </c>
      <c r="J147" s="4">
        <v>41367</v>
      </c>
      <c r="K147" s="6">
        <v>0.79166666666666663</v>
      </c>
      <c r="L147" s="3">
        <v>10</v>
      </c>
      <c r="M147" s="3" t="s">
        <v>355</v>
      </c>
      <c r="N147" s="3" t="s">
        <v>355</v>
      </c>
      <c r="O147" s="5"/>
      <c r="P147" s="3" t="s">
        <v>22</v>
      </c>
      <c r="Q147" s="7"/>
      <c r="R147" s="7"/>
    </row>
    <row r="148" spans="1:18" ht="89.25" x14ac:dyDescent="0.25">
      <c r="A148" s="3" t="s">
        <v>18</v>
      </c>
      <c r="B148" s="3">
        <v>2013</v>
      </c>
      <c r="C148" s="3" t="s">
        <v>19</v>
      </c>
      <c r="D148" s="3" t="str">
        <f>"192 / 2013"</f>
        <v>192 / 2013</v>
      </c>
      <c r="E148" s="4">
        <v>41369</v>
      </c>
      <c r="F148" s="3" t="s">
        <v>367</v>
      </c>
      <c r="G148" s="5"/>
      <c r="H148" s="3" t="s">
        <v>368</v>
      </c>
      <c r="I148" s="3" t="str">
        <f t="shared" si="5"/>
        <v>8 / 03-04-2013</v>
      </c>
      <c r="J148" s="4">
        <v>41367</v>
      </c>
      <c r="K148" s="6">
        <v>0.79166666666666663</v>
      </c>
      <c r="L148" s="3">
        <v>10</v>
      </c>
      <c r="M148" s="3" t="s">
        <v>355</v>
      </c>
      <c r="N148" s="3" t="s">
        <v>355</v>
      </c>
      <c r="O148" s="5"/>
      <c r="P148" s="3" t="s">
        <v>22</v>
      </c>
      <c r="Q148" s="7"/>
      <c r="R148" s="7"/>
    </row>
    <row r="149" spans="1:18" ht="89.25" x14ac:dyDescent="0.25">
      <c r="A149" s="3" t="s">
        <v>18</v>
      </c>
      <c r="B149" s="3">
        <v>2013</v>
      </c>
      <c r="C149" s="3" t="s">
        <v>19</v>
      </c>
      <c r="D149" s="3" t="str">
        <f>"193 / 2013"</f>
        <v>193 / 2013</v>
      </c>
      <c r="E149" s="4">
        <v>41369</v>
      </c>
      <c r="F149" s="3" t="s">
        <v>369</v>
      </c>
      <c r="G149" s="5"/>
      <c r="H149" s="3" t="s">
        <v>364</v>
      </c>
      <c r="I149" s="3" t="str">
        <f t="shared" si="5"/>
        <v>8 / 03-04-2013</v>
      </c>
      <c r="J149" s="4">
        <v>41367</v>
      </c>
      <c r="K149" s="6">
        <v>0.79166666666666663</v>
      </c>
      <c r="L149" s="3">
        <v>10</v>
      </c>
      <c r="M149" s="3" t="s">
        <v>355</v>
      </c>
      <c r="N149" s="3" t="s">
        <v>355</v>
      </c>
      <c r="O149" s="5"/>
      <c r="P149" s="3" t="s">
        <v>22</v>
      </c>
      <c r="Q149" s="7"/>
      <c r="R149" s="7"/>
    </row>
    <row r="150" spans="1:18" ht="89.25" x14ac:dyDescent="0.25">
      <c r="A150" s="3" t="s">
        <v>18</v>
      </c>
      <c r="B150" s="3">
        <v>2013</v>
      </c>
      <c r="C150" s="3" t="s">
        <v>19</v>
      </c>
      <c r="D150" s="3" t="str">
        <f>"194 / 2013"</f>
        <v>194 / 2013</v>
      </c>
      <c r="E150" s="4">
        <v>41369</v>
      </c>
      <c r="F150" s="3" t="s">
        <v>370</v>
      </c>
      <c r="G150" s="5"/>
      <c r="H150" s="3" t="s">
        <v>371</v>
      </c>
      <c r="I150" s="3" t="str">
        <f t="shared" si="5"/>
        <v>8 / 03-04-2013</v>
      </c>
      <c r="J150" s="4">
        <v>41367</v>
      </c>
      <c r="K150" s="6">
        <v>0.79166666666666663</v>
      </c>
      <c r="L150" s="3">
        <v>10</v>
      </c>
      <c r="M150" s="3" t="s">
        <v>355</v>
      </c>
      <c r="N150" s="3" t="s">
        <v>355</v>
      </c>
      <c r="O150" s="5"/>
      <c r="P150" s="3" t="s">
        <v>22</v>
      </c>
      <c r="Q150" s="7"/>
      <c r="R150" s="7"/>
    </row>
    <row r="151" spans="1:18" ht="89.25" x14ac:dyDescent="0.25">
      <c r="A151" s="3" t="s">
        <v>18</v>
      </c>
      <c r="B151" s="3">
        <v>2013</v>
      </c>
      <c r="C151" s="3" t="s">
        <v>19</v>
      </c>
      <c r="D151" s="3" t="str">
        <f>"195 / 2013"</f>
        <v>195 / 2013</v>
      </c>
      <c r="E151" s="4">
        <v>41369</v>
      </c>
      <c r="F151" s="3" t="s">
        <v>372</v>
      </c>
      <c r="G151" s="5"/>
      <c r="H151" s="3" t="s">
        <v>371</v>
      </c>
      <c r="I151" s="3" t="str">
        <f t="shared" si="5"/>
        <v>8 / 03-04-2013</v>
      </c>
      <c r="J151" s="4">
        <v>41367</v>
      </c>
      <c r="K151" s="6">
        <v>0.79166666666666663</v>
      </c>
      <c r="L151" s="3">
        <v>10</v>
      </c>
      <c r="M151" s="3" t="s">
        <v>355</v>
      </c>
      <c r="N151" s="3" t="s">
        <v>355</v>
      </c>
      <c r="O151" s="5"/>
      <c r="P151" s="3" t="s">
        <v>22</v>
      </c>
      <c r="Q151" s="7"/>
      <c r="R151" s="7"/>
    </row>
    <row r="152" spans="1:18" ht="89.25" x14ac:dyDescent="0.25">
      <c r="A152" s="3" t="s">
        <v>18</v>
      </c>
      <c r="B152" s="3">
        <v>2013</v>
      </c>
      <c r="C152" s="3" t="s">
        <v>19</v>
      </c>
      <c r="D152" s="3" t="str">
        <f>"196 / 2013"</f>
        <v>196 / 2013</v>
      </c>
      <c r="E152" s="4">
        <v>41372</v>
      </c>
      <c r="F152" s="3" t="s">
        <v>373</v>
      </c>
      <c r="G152" s="5"/>
      <c r="H152" s="3" t="s">
        <v>371</v>
      </c>
      <c r="I152" s="3" t="str">
        <f t="shared" si="5"/>
        <v>8 / 03-04-2013</v>
      </c>
      <c r="J152" s="4">
        <v>41367</v>
      </c>
      <c r="K152" s="6">
        <v>0.79166666666666663</v>
      </c>
      <c r="L152" s="3">
        <v>10</v>
      </c>
      <c r="M152" s="3" t="s">
        <v>355</v>
      </c>
      <c r="N152" s="3" t="s">
        <v>355</v>
      </c>
      <c r="O152" s="5"/>
      <c r="P152" s="3" t="s">
        <v>22</v>
      </c>
      <c r="Q152" s="7"/>
      <c r="R152" s="7"/>
    </row>
    <row r="153" spans="1:18" ht="89.25" x14ac:dyDescent="0.25">
      <c r="A153" s="3" t="s">
        <v>18</v>
      </c>
      <c r="B153" s="3">
        <v>2013</v>
      </c>
      <c r="C153" s="3" t="s">
        <v>19</v>
      </c>
      <c r="D153" s="3" t="str">
        <f>"197 / 2013"</f>
        <v>197 / 2013</v>
      </c>
      <c r="E153" s="4">
        <v>41372</v>
      </c>
      <c r="F153" s="3" t="s">
        <v>374</v>
      </c>
      <c r="G153" s="5"/>
      <c r="H153" s="3" t="s">
        <v>371</v>
      </c>
      <c r="I153" s="3" t="str">
        <f t="shared" si="5"/>
        <v>8 / 03-04-2013</v>
      </c>
      <c r="J153" s="4">
        <v>41367</v>
      </c>
      <c r="K153" s="6">
        <v>0.79166666666666663</v>
      </c>
      <c r="L153" s="3">
        <v>10</v>
      </c>
      <c r="M153" s="3" t="s">
        <v>355</v>
      </c>
      <c r="N153" s="3" t="s">
        <v>355</v>
      </c>
      <c r="O153" s="5"/>
      <c r="P153" s="3" t="s">
        <v>22</v>
      </c>
      <c r="Q153" s="7"/>
      <c r="R153" s="7"/>
    </row>
    <row r="154" spans="1:18" ht="114.75" x14ac:dyDescent="0.25">
      <c r="A154" s="3" t="s">
        <v>18</v>
      </c>
      <c r="B154" s="3">
        <v>2013</v>
      </c>
      <c r="C154" s="3" t="s">
        <v>19</v>
      </c>
      <c r="D154" s="3" t="str">
        <f>"198 / 2013"</f>
        <v>198 / 2013</v>
      </c>
      <c r="E154" s="4">
        <v>41373</v>
      </c>
      <c r="F154" s="3" t="s">
        <v>375</v>
      </c>
      <c r="G154" s="5"/>
      <c r="H154" s="3" t="s">
        <v>376</v>
      </c>
      <c r="I154" s="3" t="str">
        <f t="shared" si="5"/>
        <v>8 / 03-04-2013</v>
      </c>
      <c r="J154" s="4">
        <v>41367</v>
      </c>
      <c r="K154" s="6">
        <v>0.79166666666666663</v>
      </c>
      <c r="L154" s="3">
        <v>11</v>
      </c>
      <c r="M154" s="3" t="s">
        <v>377</v>
      </c>
      <c r="N154" s="3" t="s">
        <v>378</v>
      </c>
      <c r="O154" s="5"/>
      <c r="P154" s="3" t="s">
        <v>22</v>
      </c>
      <c r="Q154" s="7"/>
      <c r="R154" s="7"/>
    </row>
    <row r="155" spans="1:18" ht="63.75" x14ac:dyDescent="0.25">
      <c r="A155" s="3" t="s">
        <v>18</v>
      </c>
      <c r="B155" s="3">
        <v>2013</v>
      </c>
      <c r="C155" s="3" t="s">
        <v>19</v>
      </c>
      <c r="D155" s="3" t="str">
        <f>"199 / 2013"</f>
        <v>199 / 2013</v>
      </c>
      <c r="E155" s="4">
        <v>41376</v>
      </c>
      <c r="F155" s="3" t="s">
        <v>379</v>
      </c>
      <c r="G155" s="5"/>
      <c r="H155" s="3" t="s">
        <v>380</v>
      </c>
      <c r="I155" s="3" t="str">
        <f t="shared" si="5"/>
        <v>8 / 03-04-2013</v>
      </c>
      <c r="J155" s="4">
        <v>41367</v>
      </c>
      <c r="K155" s="6">
        <v>0.79166666666666663</v>
      </c>
      <c r="L155" s="3">
        <v>12</v>
      </c>
      <c r="M155" s="3" t="s">
        <v>381</v>
      </c>
      <c r="N155" s="3" t="s">
        <v>382</v>
      </c>
      <c r="O155" s="5"/>
      <c r="P155" s="3" t="s">
        <v>22</v>
      </c>
      <c r="Q155" s="7"/>
      <c r="R155" s="7"/>
    </row>
    <row r="156" spans="1:18" ht="76.5" x14ac:dyDescent="0.25">
      <c r="A156" s="3" t="s">
        <v>18</v>
      </c>
      <c r="B156" s="3">
        <v>2013</v>
      </c>
      <c r="C156" s="3" t="s">
        <v>19</v>
      </c>
      <c r="D156" s="3" t="str">
        <f>"20/2013"</f>
        <v>20/2013</v>
      </c>
      <c r="E156" s="4">
        <v>41297</v>
      </c>
      <c r="F156" s="3" t="s">
        <v>383</v>
      </c>
      <c r="G156" s="5"/>
      <c r="H156" s="3" t="s">
        <v>384</v>
      </c>
      <c r="I156" s="3" t="str">
        <f>"3/23-01-2013"</f>
        <v>3/23-01-2013</v>
      </c>
      <c r="J156" s="4">
        <v>41297</v>
      </c>
      <c r="K156" s="6">
        <v>0.8125</v>
      </c>
      <c r="L156" s="3">
        <v>13</v>
      </c>
      <c r="M156" s="3" t="s">
        <v>25</v>
      </c>
      <c r="N156" s="3" t="s">
        <v>385</v>
      </c>
      <c r="O156" s="5"/>
      <c r="P156" s="3" t="s">
        <v>22</v>
      </c>
      <c r="Q156" s="7"/>
      <c r="R156" s="7"/>
    </row>
    <row r="157" spans="1:18" ht="76.5" x14ac:dyDescent="0.25">
      <c r="A157" s="3" t="s">
        <v>18</v>
      </c>
      <c r="B157" s="3">
        <v>2013</v>
      </c>
      <c r="C157" s="3" t="s">
        <v>19</v>
      </c>
      <c r="D157" s="3" t="str">
        <f>"200 / 2013"</f>
        <v>200 / 2013</v>
      </c>
      <c r="E157" s="4">
        <v>41369</v>
      </c>
      <c r="F157" s="3" t="s">
        <v>386</v>
      </c>
      <c r="G157" s="5"/>
      <c r="H157" s="3" t="s">
        <v>387</v>
      </c>
      <c r="I157" s="3" t="str">
        <f>"8 / 03-04-2013"</f>
        <v>8 / 03-04-2013</v>
      </c>
      <c r="J157" s="4">
        <v>41367</v>
      </c>
      <c r="K157" s="6">
        <v>0.79166666666666663</v>
      </c>
      <c r="L157" s="3">
        <v>13</v>
      </c>
      <c r="M157" s="3" t="s">
        <v>388</v>
      </c>
      <c r="N157" s="3" t="s">
        <v>389</v>
      </c>
      <c r="O157" s="5"/>
      <c r="P157" s="3" t="s">
        <v>22</v>
      </c>
      <c r="Q157" s="7"/>
      <c r="R157" s="7"/>
    </row>
    <row r="158" spans="1:18" ht="63.75" x14ac:dyDescent="0.25">
      <c r="A158" s="3" t="s">
        <v>18</v>
      </c>
      <c r="B158" s="3">
        <v>2013</v>
      </c>
      <c r="C158" s="3" t="s">
        <v>19</v>
      </c>
      <c r="D158" s="3" t="str">
        <f>"201 / 2013"</f>
        <v>201 / 2013</v>
      </c>
      <c r="E158" s="4">
        <v>41368</v>
      </c>
      <c r="F158" s="3" t="s">
        <v>390</v>
      </c>
      <c r="G158" s="5"/>
      <c r="H158" s="3" t="s">
        <v>391</v>
      </c>
      <c r="I158" s="3" t="str">
        <f>"8 / 03-04-2013"</f>
        <v>8 / 03-04-2013</v>
      </c>
      <c r="J158" s="4">
        <v>41367</v>
      </c>
      <c r="K158" s="6">
        <v>0.79166666666666663</v>
      </c>
      <c r="L158" s="3">
        <v>14</v>
      </c>
      <c r="M158" s="3" t="s">
        <v>392</v>
      </c>
      <c r="N158" s="3" t="s">
        <v>392</v>
      </c>
      <c r="O158" s="5"/>
      <c r="P158" s="3" t="s">
        <v>22</v>
      </c>
      <c r="Q158" s="7"/>
      <c r="R158" s="7"/>
    </row>
    <row r="159" spans="1:18" ht="102" x14ac:dyDescent="0.25">
      <c r="A159" s="3" t="s">
        <v>18</v>
      </c>
      <c r="B159" s="3">
        <v>2013</v>
      </c>
      <c r="C159" s="3" t="s">
        <v>19</v>
      </c>
      <c r="D159" s="3" t="str">
        <f>"202/2013"</f>
        <v>202/2013</v>
      </c>
      <c r="E159" s="4">
        <v>41373</v>
      </c>
      <c r="F159" s="3" t="s">
        <v>393</v>
      </c>
      <c r="G159" s="5"/>
      <c r="H159" s="3" t="s">
        <v>394</v>
      </c>
      <c r="I159" s="3" t="str">
        <f>"8/03-04-2013"</f>
        <v>8/03-04-2013</v>
      </c>
      <c r="J159" s="4">
        <v>41367</v>
      </c>
      <c r="K159" s="6">
        <v>0.79166666666666663</v>
      </c>
      <c r="L159" s="3">
        <v>15</v>
      </c>
      <c r="M159" s="3" t="s">
        <v>178</v>
      </c>
      <c r="N159" s="3" t="s">
        <v>178</v>
      </c>
      <c r="O159" s="5"/>
      <c r="P159" s="3" t="s">
        <v>22</v>
      </c>
      <c r="Q159" s="7"/>
      <c r="R159" s="7"/>
    </row>
    <row r="160" spans="1:18" ht="89.25" x14ac:dyDescent="0.25">
      <c r="A160" s="3" t="s">
        <v>18</v>
      </c>
      <c r="B160" s="3">
        <v>2013</v>
      </c>
      <c r="C160" s="3" t="s">
        <v>19</v>
      </c>
      <c r="D160" s="3" t="str">
        <f>"203 / 2013"</f>
        <v>203 / 2013</v>
      </c>
      <c r="E160" s="4">
        <v>41374</v>
      </c>
      <c r="F160" s="3" t="s">
        <v>395</v>
      </c>
      <c r="G160" s="5"/>
      <c r="H160" s="3" t="s">
        <v>396</v>
      </c>
      <c r="I160" s="3" t="str">
        <f t="shared" ref="I160:I166" si="6">"8 / 03-04-2013"</f>
        <v>8 / 03-04-2013</v>
      </c>
      <c r="J160" s="4">
        <v>41367</v>
      </c>
      <c r="K160" s="6">
        <v>0.79166666666666663</v>
      </c>
      <c r="L160" s="3">
        <v>16</v>
      </c>
      <c r="M160" s="3" t="s">
        <v>178</v>
      </c>
      <c r="N160" s="3" t="s">
        <v>178</v>
      </c>
      <c r="O160" s="5"/>
      <c r="P160" s="3" t="s">
        <v>22</v>
      </c>
      <c r="Q160" s="7"/>
      <c r="R160" s="7"/>
    </row>
    <row r="161" spans="1:18" ht="76.5" x14ac:dyDescent="0.25">
      <c r="A161" s="3" t="s">
        <v>18</v>
      </c>
      <c r="B161" s="3">
        <v>2013</v>
      </c>
      <c r="C161" s="3" t="s">
        <v>19</v>
      </c>
      <c r="D161" s="3" t="str">
        <f>"204 / 2013"</f>
        <v>204 / 2013</v>
      </c>
      <c r="E161" s="4">
        <v>41369</v>
      </c>
      <c r="F161" s="3" t="s">
        <v>397</v>
      </c>
      <c r="G161" s="5"/>
      <c r="H161" s="3" t="s">
        <v>398</v>
      </c>
      <c r="I161" s="3" t="str">
        <f t="shared" si="6"/>
        <v>8 / 03-04-2013</v>
      </c>
      <c r="J161" s="4">
        <v>41367</v>
      </c>
      <c r="K161" s="6">
        <v>0.79166666666666663</v>
      </c>
      <c r="L161" s="3">
        <v>17</v>
      </c>
      <c r="M161" s="3" t="s">
        <v>399</v>
      </c>
      <c r="N161" s="3" t="s">
        <v>400</v>
      </c>
      <c r="O161" s="5"/>
      <c r="P161" s="3" t="s">
        <v>22</v>
      </c>
      <c r="Q161" s="7"/>
      <c r="R161" s="7"/>
    </row>
    <row r="162" spans="1:18" ht="51" x14ac:dyDescent="0.25">
      <c r="A162" s="3" t="s">
        <v>18</v>
      </c>
      <c r="B162" s="3">
        <v>2013</v>
      </c>
      <c r="C162" s="3" t="s">
        <v>19</v>
      </c>
      <c r="D162" s="3" t="str">
        <f>"205 / 2013"</f>
        <v>205 / 2013</v>
      </c>
      <c r="E162" s="4">
        <v>41369</v>
      </c>
      <c r="F162" s="3" t="s">
        <v>401</v>
      </c>
      <c r="G162" s="5"/>
      <c r="H162" s="3" t="s">
        <v>402</v>
      </c>
      <c r="I162" s="3" t="str">
        <f t="shared" si="6"/>
        <v>8 / 03-04-2013</v>
      </c>
      <c r="J162" s="4">
        <v>41367</v>
      </c>
      <c r="K162" s="6">
        <v>0.79166666666666663</v>
      </c>
      <c r="L162" s="3">
        <v>18</v>
      </c>
      <c r="M162" s="3" t="s">
        <v>333</v>
      </c>
      <c r="N162" s="3" t="s">
        <v>333</v>
      </c>
      <c r="O162" s="5"/>
      <c r="P162" s="3" t="s">
        <v>22</v>
      </c>
      <c r="Q162" s="7"/>
      <c r="R162" s="7"/>
    </row>
    <row r="163" spans="1:18" ht="63.75" x14ac:dyDescent="0.25">
      <c r="A163" s="3" t="s">
        <v>18</v>
      </c>
      <c r="B163" s="3">
        <v>2013</v>
      </c>
      <c r="C163" s="3" t="s">
        <v>19</v>
      </c>
      <c r="D163" s="3" t="str">
        <f>"206 / 2013"</f>
        <v>206 / 2013</v>
      </c>
      <c r="E163" s="4">
        <v>41379</v>
      </c>
      <c r="F163" s="3" t="s">
        <v>403</v>
      </c>
      <c r="G163" s="5"/>
      <c r="H163" s="3" t="s">
        <v>404</v>
      </c>
      <c r="I163" s="3" t="str">
        <f t="shared" si="6"/>
        <v>8 / 03-04-2013</v>
      </c>
      <c r="J163" s="4">
        <v>41367</v>
      </c>
      <c r="K163" s="6">
        <v>0.79166666666666663</v>
      </c>
      <c r="L163" s="3">
        <v>19</v>
      </c>
      <c r="M163" s="3" t="s">
        <v>405</v>
      </c>
      <c r="N163" s="3" t="s">
        <v>405</v>
      </c>
      <c r="O163" s="5"/>
      <c r="P163" s="3" t="s">
        <v>22</v>
      </c>
      <c r="Q163" s="7"/>
      <c r="R163" s="7"/>
    </row>
    <row r="164" spans="1:18" ht="76.5" x14ac:dyDescent="0.25">
      <c r="A164" s="3" t="s">
        <v>18</v>
      </c>
      <c r="B164" s="3">
        <v>2013</v>
      </c>
      <c r="C164" s="3" t="s">
        <v>19</v>
      </c>
      <c r="D164" s="3" t="str">
        <f>"207 / 2013"</f>
        <v>207 / 2013</v>
      </c>
      <c r="E164" s="4">
        <v>41408</v>
      </c>
      <c r="F164" s="3" t="s">
        <v>406</v>
      </c>
      <c r="G164" s="5"/>
      <c r="H164" s="3" t="s">
        <v>407</v>
      </c>
      <c r="I164" s="3" t="str">
        <f t="shared" si="6"/>
        <v>8 / 03-04-2013</v>
      </c>
      <c r="J164" s="4">
        <v>41367</v>
      </c>
      <c r="K164" s="6">
        <v>0.79166666666666663</v>
      </c>
      <c r="L164" s="3">
        <v>20</v>
      </c>
      <c r="M164" s="3" t="s">
        <v>408</v>
      </c>
      <c r="N164" s="3" t="s">
        <v>408</v>
      </c>
      <c r="O164" s="5"/>
      <c r="P164" s="3" t="s">
        <v>22</v>
      </c>
      <c r="Q164" s="7"/>
      <c r="R164" s="7"/>
    </row>
    <row r="165" spans="1:18" ht="114.75" x14ac:dyDescent="0.25">
      <c r="A165" s="3" t="s">
        <v>18</v>
      </c>
      <c r="B165" s="3">
        <v>2013</v>
      </c>
      <c r="C165" s="3" t="s">
        <v>19</v>
      </c>
      <c r="D165" s="3" t="str">
        <f>"208 / 2013"</f>
        <v>208 / 2013</v>
      </c>
      <c r="E165" s="4">
        <v>41380</v>
      </c>
      <c r="F165" s="3" t="s">
        <v>409</v>
      </c>
      <c r="G165" s="5"/>
      <c r="H165" s="3" t="s">
        <v>410</v>
      </c>
      <c r="I165" s="3" t="str">
        <f t="shared" si="6"/>
        <v>8 / 03-04-2013</v>
      </c>
      <c r="J165" s="4">
        <v>41367</v>
      </c>
      <c r="K165" s="6">
        <v>0.79166666666666663</v>
      </c>
      <c r="L165" s="3">
        <v>21</v>
      </c>
      <c r="M165" s="3" t="s">
        <v>411</v>
      </c>
      <c r="N165" s="3" t="s">
        <v>411</v>
      </c>
      <c r="O165" s="5"/>
      <c r="P165" s="3" t="s">
        <v>22</v>
      </c>
      <c r="Q165" s="7"/>
      <c r="R165" s="7"/>
    </row>
    <row r="166" spans="1:18" ht="63.75" x14ac:dyDescent="0.25">
      <c r="A166" s="3" t="s">
        <v>18</v>
      </c>
      <c r="B166" s="3">
        <v>2013</v>
      </c>
      <c r="C166" s="3" t="s">
        <v>19</v>
      </c>
      <c r="D166" s="3" t="str">
        <f>"209 / 2013"</f>
        <v>209 / 2013</v>
      </c>
      <c r="E166" s="4">
        <v>41374</v>
      </c>
      <c r="F166" s="3" t="s">
        <v>412</v>
      </c>
      <c r="G166" s="5"/>
      <c r="H166" s="3" t="s">
        <v>413</v>
      </c>
      <c r="I166" s="3" t="str">
        <f t="shared" si="6"/>
        <v>8 / 03-04-2013</v>
      </c>
      <c r="J166" s="4">
        <v>41367</v>
      </c>
      <c r="K166" s="6">
        <v>0.79166666666666663</v>
      </c>
      <c r="L166" s="3">
        <v>23</v>
      </c>
      <c r="M166" s="3" t="s">
        <v>56</v>
      </c>
      <c r="N166" s="3" t="s">
        <v>56</v>
      </c>
      <c r="O166" s="5"/>
      <c r="P166" s="3" t="s">
        <v>22</v>
      </c>
      <c r="Q166" s="7"/>
      <c r="R166" s="7"/>
    </row>
    <row r="167" spans="1:18" ht="51" x14ac:dyDescent="0.25">
      <c r="A167" s="3" t="s">
        <v>18</v>
      </c>
      <c r="B167" s="3">
        <v>2013</v>
      </c>
      <c r="C167" s="3" t="s">
        <v>19</v>
      </c>
      <c r="D167" s="3" t="str">
        <f>"21/2013"</f>
        <v>21/2013</v>
      </c>
      <c r="E167" s="4">
        <v>41297</v>
      </c>
      <c r="F167" s="3" t="s">
        <v>414</v>
      </c>
      <c r="G167" s="5"/>
      <c r="H167" s="3" t="s">
        <v>415</v>
      </c>
      <c r="I167" s="3" t="str">
        <f>"3/23-01-2013"</f>
        <v>3/23-01-2013</v>
      </c>
      <c r="J167" s="4">
        <v>41297</v>
      </c>
      <c r="K167" s="6">
        <v>0.8125</v>
      </c>
      <c r="L167" s="3">
        <v>14</v>
      </c>
      <c r="M167" s="3" t="s">
        <v>185</v>
      </c>
      <c r="N167" s="3" t="s">
        <v>185</v>
      </c>
      <c r="O167" s="5"/>
      <c r="P167" s="3" t="s">
        <v>22</v>
      </c>
      <c r="Q167" s="7"/>
      <c r="R167" s="7"/>
    </row>
    <row r="168" spans="1:18" ht="51" x14ac:dyDescent="0.25">
      <c r="A168" s="3" t="s">
        <v>18</v>
      </c>
      <c r="B168" s="3">
        <v>2013</v>
      </c>
      <c r="C168" s="3" t="s">
        <v>19</v>
      </c>
      <c r="D168" s="3" t="str">
        <f>"210 / 2013"</f>
        <v>210 / 2013</v>
      </c>
      <c r="E168" s="4">
        <v>41374</v>
      </c>
      <c r="F168" s="3" t="s">
        <v>416</v>
      </c>
      <c r="G168" s="5"/>
      <c r="H168" s="3" t="s">
        <v>417</v>
      </c>
      <c r="I168" s="3" t="str">
        <f t="shared" ref="I168:I176" si="7">"8 / 03-04-2013"</f>
        <v>8 / 03-04-2013</v>
      </c>
      <c r="J168" s="4">
        <v>41367</v>
      </c>
      <c r="K168" s="6">
        <v>0.79166666666666663</v>
      </c>
      <c r="L168" s="3">
        <v>23</v>
      </c>
      <c r="M168" s="3" t="s">
        <v>56</v>
      </c>
      <c r="N168" s="3" t="s">
        <v>56</v>
      </c>
      <c r="O168" s="5"/>
      <c r="P168" s="3" t="s">
        <v>22</v>
      </c>
      <c r="Q168" s="7"/>
      <c r="R168" s="7"/>
    </row>
    <row r="169" spans="1:18" ht="63.75" x14ac:dyDescent="0.25">
      <c r="A169" s="3" t="s">
        <v>18</v>
      </c>
      <c r="B169" s="3">
        <v>2013</v>
      </c>
      <c r="C169" s="3" t="s">
        <v>19</v>
      </c>
      <c r="D169" s="3" t="str">
        <f>"212 / 2013"</f>
        <v>212 / 2013</v>
      </c>
      <c r="E169" s="4">
        <v>41375</v>
      </c>
      <c r="F169" s="3" t="s">
        <v>418</v>
      </c>
      <c r="G169" s="5"/>
      <c r="H169" s="3" t="s">
        <v>419</v>
      </c>
      <c r="I169" s="3" t="str">
        <f t="shared" si="7"/>
        <v>8 / 03-04-2013</v>
      </c>
      <c r="J169" s="4">
        <v>41367</v>
      </c>
      <c r="K169" s="6">
        <v>0.79166666666666663</v>
      </c>
      <c r="L169" s="3">
        <v>23</v>
      </c>
      <c r="M169" s="3" t="s">
        <v>56</v>
      </c>
      <c r="N169" s="3" t="s">
        <v>56</v>
      </c>
      <c r="O169" s="5"/>
      <c r="P169" s="3" t="s">
        <v>22</v>
      </c>
      <c r="Q169" s="7"/>
      <c r="R169" s="7"/>
    </row>
    <row r="170" spans="1:18" ht="51" x14ac:dyDescent="0.25">
      <c r="A170" s="3" t="s">
        <v>18</v>
      </c>
      <c r="B170" s="3">
        <v>2013</v>
      </c>
      <c r="C170" s="3" t="s">
        <v>19</v>
      </c>
      <c r="D170" s="3" t="str">
        <f>"213 / 2013"</f>
        <v>213 / 2013</v>
      </c>
      <c r="E170" s="4">
        <v>41372</v>
      </c>
      <c r="F170" s="3" t="s">
        <v>420</v>
      </c>
      <c r="G170" s="5"/>
      <c r="H170" s="3" t="s">
        <v>421</v>
      </c>
      <c r="I170" s="3" t="str">
        <f t="shared" si="7"/>
        <v>8 / 03-04-2013</v>
      </c>
      <c r="J170" s="4">
        <v>41367</v>
      </c>
      <c r="K170" s="6">
        <v>0.79166666666666663</v>
      </c>
      <c r="L170" s="3">
        <v>23</v>
      </c>
      <c r="M170" s="3" t="s">
        <v>56</v>
      </c>
      <c r="N170" s="3" t="s">
        <v>56</v>
      </c>
      <c r="O170" s="5"/>
      <c r="P170" s="3" t="s">
        <v>22</v>
      </c>
      <c r="Q170" s="7"/>
      <c r="R170" s="7"/>
    </row>
    <row r="171" spans="1:18" ht="38.25" x14ac:dyDescent="0.25">
      <c r="A171" s="3" t="s">
        <v>18</v>
      </c>
      <c r="B171" s="3">
        <v>2013</v>
      </c>
      <c r="C171" s="3" t="s">
        <v>19</v>
      </c>
      <c r="D171" s="3" t="str">
        <f>"214 / 2013"</f>
        <v>214 / 2013</v>
      </c>
      <c r="E171" s="4">
        <v>41372</v>
      </c>
      <c r="F171" s="3" t="s">
        <v>422</v>
      </c>
      <c r="G171" s="5"/>
      <c r="H171" s="3" t="s">
        <v>423</v>
      </c>
      <c r="I171" s="3" t="str">
        <f t="shared" si="7"/>
        <v>8 / 03-04-2013</v>
      </c>
      <c r="J171" s="4">
        <v>41367</v>
      </c>
      <c r="K171" s="6">
        <v>0.79166666666666663</v>
      </c>
      <c r="L171" s="3">
        <v>23</v>
      </c>
      <c r="M171" s="3" t="s">
        <v>56</v>
      </c>
      <c r="N171" s="3" t="s">
        <v>56</v>
      </c>
      <c r="O171" s="5"/>
      <c r="P171" s="3" t="s">
        <v>22</v>
      </c>
      <c r="Q171" s="7"/>
      <c r="R171" s="7"/>
    </row>
    <row r="172" spans="1:18" ht="51" x14ac:dyDescent="0.25">
      <c r="A172" s="3" t="s">
        <v>18</v>
      </c>
      <c r="B172" s="3">
        <v>2013</v>
      </c>
      <c r="C172" s="3" t="s">
        <v>19</v>
      </c>
      <c r="D172" s="3" t="str">
        <f>"215 / 2013"</f>
        <v>215 / 2013</v>
      </c>
      <c r="E172" s="4">
        <v>41375</v>
      </c>
      <c r="F172" s="3" t="s">
        <v>424</v>
      </c>
      <c r="G172" s="5"/>
      <c r="H172" s="3" t="s">
        <v>425</v>
      </c>
      <c r="I172" s="3" t="str">
        <f t="shared" si="7"/>
        <v>8 / 03-04-2013</v>
      </c>
      <c r="J172" s="4">
        <v>41367</v>
      </c>
      <c r="K172" s="6">
        <v>0.79166666666666663</v>
      </c>
      <c r="L172" s="3">
        <v>23</v>
      </c>
      <c r="M172" s="3" t="s">
        <v>56</v>
      </c>
      <c r="N172" s="3" t="s">
        <v>56</v>
      </c>
      <c r="O172" s="5"/>
      <c r="P172" s="3" t="s">
        <v>22</v>
      </c>
      <c r="Q172" s="7"/>
      <c r="R172" s="7"/>
    </row>
    <row r="173" spans="1:18" ht="51" x14ac:dyDescent="0.25">
      <c r="A173" s="3" t="s">
        <v>18</v>
      </c>
      <c r="B173" s="3">
        <v>2013</v>
      </c>
      <c r="C173" s="3" t="s">
        <v>19</v>
      </c>
      <c r="D173" s="3" t="str">
        <f>"216 / 2013"</f>
        <v>216 / 2013</v>
      </c>
      <c r="E173" s="4">
        <v>41375</v>
      </c>
      <c r="F173" s="3" t="s">
        <v>426</v>
      </c>
      <c r="G173" s="5"/>
      <c r="H173" s="3" t="s">
        <v>427</v>
      </c>
      <c r="I173" s="3" t="str">
        <f t="shared" si="7"/>
        <v>8 / 03-04-2013</v>
      </c>
      <c r="J173" s="4">
        <v>41367</v>
      </c>
      <c r="K173" s="6">
        <v>0.79166666666666663</v>
      </c>
      <c r="L173" s="3">
        <v>23</v>
      </c>
      <c r="M173" s="3" t="s">
        <v>56</v>
      </c>
      <c r="N173" s="3" t="s">
        <v>56</v>
      </c>
      <c r="O173" s="5"/>
      <c r="P173" s="3" t="s">
        <v>22</v>
      </c>
      <c r="Q173" s="7"/>
      <c r="R173" s="7"/>
    </row>
    <row r="174" spans="1:18" ht="63.75" x14ac:dyDescent="0.25">
      <c r="A174" s="3" t="s">
        <v>18</v>
      </c>
      <c r="B174" s="3">
        <v>2013</v>
      </c>
      <c r="C174" s="3" t="s">
        <v>19</v>
      </c>
      <c r="D174" s="3" t="str">
        <f>"217 / 2013"</f>
        <v>217 / 2013</v>
      </c>
      <c r="E174" s="4">
        <v>41375</v>
      </c>
      <c r="F174" s="3" t="s">
        <v>428</v>
      </c>
      <c r="G174" s="5"/>
      <c r="H174" s="3" t="s">
        <v>429</v>
      </c>
      <c r="I174" s="3" t="str">
        <f t="shared" si="7"/>
        <v>8 / 03-04-2013</v>
      </c>
      <c r="J174" s="4">
        <v>41367</v>
      </c>
      <c r="K174" s="6">
        <v>0.79166666666666663</v>
      </c>
      <c r="L174" s="3">
        <v>23</v>
      </c>
      <c r="M174" s="3" t="s">
        <v>56</v>
      </c>
      <c r="N174" s="3" t="s">
        <v>56</v>
      </c>
      <c r="O174" s="5"/>
      <c r="P174" s="3" t="s">
        <v>22</v>
      </c>
      <c r="Q174" s="7"/>
      <c r="R174" s="7"/>
    </row>
    <row r="175" spans="1:18" ht="51" x14ac:dyDescent="0.25">
      <c r="A175" s="3" t="s">
        <v>18</v>
      </c>
      <c r="B175" s="3">
        <v>2013</v>
      </c>
      <c r="C175" s="3" t="s">
        <v>19</v>
      </c>
      <c r="D175" s="3" t="str">
        <f>"218 / 2013"</f>
        <v>218 / 2013</v>
      </c>
      <c r="E175" s="4">
        <v>41373</v>
      </c>
      <c r="F175" s="3" t="s">
        <v>430</v>
      </c>
      <c r="G175" s="5"/>
      <c r="H175" s="3" t="s">
        <v>431</v>
      </c>
      <c r="I175" s="3" t="str">
        <f t="shared" si="7"/>
        <v>8 / 03-04-2013</v>
      </c>
      <c r="J175" s="4">
        <v>41367</v>
      </c>
      <c r="K175" s="6">
        <v>0.79166666666666663</v>
      </c>
      <c r="L175" s="3">
        <v>24</v>
      </c>
      <c r="M175" s="3" t="s">
        <v>432</v>
      </c>
      <c r="N175" s="3" t="s">
        <v>432</v>
      </c>
      <c r="O175" s="5"/>
      <c r="P175" s="3" t="s">
        <v>22</v>
      </c>
      <c r="Q175" s="7"/>
      <c r="R175" s="7"/>
    </row>
    <row r="176" spans="1:18" ht="63.75" x14ac:dyDescent="0.25">
      <c r="A176" s="3" t="s">
        <v>18</v>
      </c>
      <c r="B176" s="3">
        <v>2013</v>
      </c>
      <c r="C176" s="3" t="s">
        <v>19</v>
      </c>
      <c r="D176" s="3" t="str">
        <f>"219 / 2013"</f>
        <v>219 / 2013</v>
      </c>
      <c r="E176" s="4">
        <v>41372</v>
      </c>
      <c r="F176" s="3" t="s">
        <v>433</v>
      </c>
      <c r="G176" s="5"/>
      <c r="H176" s="3" t="s">
        <v>434</v>
      </c>
      <c r="I176" s="3" t="str">
        <f t="shared" si="7"/>
        <v>8 / 03-04-2013</v>
      </c>
      <c r="J176" s="4">
        <v>41367</v>
      </c>
      <c r="K176" s="6">
        <v>0.79166666666666663</v>
      </c>
      <c r="L176" s="3">
        <v>25</v>
      </c>
      <c r="M176" s="3" t="s">
        <v>435</v>
      </c>
      <c r="N176" s="3" t="s">
        <v>435</v>
      </c>
      <c r="O176" s="5"/>
      <c r="P176" s="3" t="s">
        <v>22</v>
      </c>
      <c r="Q176" s="7"/>
      <c r="R176" s="7"/>
    </row>
    <row r="177" spans="1:18" ht="357" x14ac:dyDescent="0.25">
      <c r="A177" s="3" t="s">
        <v>18</v>
      </c>
      <c r="B177" s="3">
        <v>2013</v>
      </c>
      <c r="C177" s="3" t="s">
        <v>19</v>
      </c>
      <c r="D177" s="3" t="str">
        <f>"22/2013"</f>
        <v>22/2013</v>
      </c>
      <c r="E177" s="4">
        <v>41297</v>
      </c>
      <c r="F177" s="3" t="s">
        <v>436</v>
      </c>
      <c r="G177" s="5"/>
      <c r="H177" s="3" t="s">
        <v>437</v>
      </c>
      <c r="I177" s="3" t="str">
        <f>"3/23-01-2013"</f>
        <v>3/23-01-2013</v>
      </c>
      <c r="J177" s="4">
        <v>41297</v>
      </c>
      <c r="K177" s="6">
        <v>0.8125</v>
      </c>
      <c r="L177" s="3">
        <v>15</v>
      </c>
      <c r="M177" s="3" t="s">
        <v>438</v>
      </c>
      <c r="N177" s="3" t="s">
        <v>439</v>
      </c>
      <c r="O177" s="5"/>
      <c r="P177" s="3" t="s">
        <v>22</v>
      </c>
      <c r="Q177" s="7"/>
      <c r="R177" s="7"/>
    </row>
    <row r="178" spans="1:18" ht="89.25" x14ac:dyDescent="0.25">
      <c r="A178" s="3" t="s">
        <v>18</v>
      </c>
      <c r="B178" s="3">
        <v>2013</v>
      </c>
      <c r="C178" s="3" t="s">
        <v>19</v>
      </c>
      <c r="D178" s="3" t="str">
        <f>"220 / 2013"</f>
        <v>220 / 2013</v>
      </c>
      <c r="E178" s="4">
        <v>41374</v>
      </c>
      <c r="F178" s="3" t="s">
        <v>440</v>
      </c>
      <c r="G178" s="5"/>
      <c r="H178" s="3" t="s">
        <v>441</v>
      </c>
      <c r="I178" s="3" t="str">
        <f t="shared" ref="I178:I187" si="8">"8 / 03-04-2013"</f>
        <v>8 / 03-04-2013</v>
      </c>
      <c r="J178" s="4">
        <v>41367</v>
      </c>
      <c r="K178" s="6">
        <v>0.79166666666666663</v>
      </c>
      <c r="L178" s="3">
        <v>26</v>
      </c>
      <c r="M178" s="3" t="s">
        <v>442</v>
      </c>
      <c r="N178" s="3" t="s">
        <v>442</v>
      </c>
      <c r="O178" s="5"/>
      <c r="P178" s="3" t="s">
        <v>22</v>
      </c>
      <c r="Q178" s="7"/>
      <c r="R178" s="7"/>
    </row>
    <row r="179" spans="1:18" ht="114.75" x14ac:dyDescent="0.25">
      <c r="A179" s="3" t="s">
        <v>18</v>
      </c>
      <c r="B179" s="3">
        <v>2013</v>
      </c>
      <c r="C179" s="3" t="s">
        <v>19</v>
      </c>
      <c r="D179" s="3" t="str">
        <f>"221 / 2013"</f>
        <v>221 / 2013</v>
      </c>
      <c r="E179" s="4">
        <v>41374</v>
      </c>
      <c r="F179" s="3" t="s">
        <v>443</v>
      </c>
      <c r="G179" s="5"/>
      <c r="H179" s="3" t="s">
        <v>444</v>
      </c>
      <c r="I179" s="3" t="str">
        <f t="shared" si="8"/>
        <v>8 / 03-04-2013</v>
      </c>
      <c r="J179" s="4">
        <v>41367</v>
      </c>
      <c r="K179" s="6">
        <v>0.79166666666666663</v>
      </c>
      <c r="L179" s="3">
        <v>27</v>
      </c>
      <c r="M179" s="3" t="s">
        <v>442</v>
      </c>
      <c r="N179" s="3" t="s">
        <v>442</v>
      </c>
      <c r="O179" s="5"/>
      <c r="P179" s="3" t="s">
        <v>22</v>
      </c>
      <c r="Q179" s="7"/>
      <c r="R179" s="7"/>
    </row>
    <row r="180" spans="1:18" ht="51" x14ac:dyDescent="0.25">
      <c r="A180" s="3" t="s">
        <v>18</v>
      </c>
      <c r="B180" s="3">
        <v>2013</v>
      </c>
      <c r="C180" s="3" t="s">
        <v>19</v>
      </c>
      <c r="D180" s="3" t="str">
        <f>"222 / 2013"</f>
        <v>222 / 2013</v>
      </c>
      <c r="E180" s="4">
        <v>41374</v>
      </c>
      <c r="F180" s="3" t="s">
        <v>445</v>
      </c>
      <c r="G180" s="5"/>
      <c r="H180" s="3" t="s">
        <v>446</v>
      </c>
      <c r="I180" s="3" t="str">
        <f t="shared" si="8"/>
        <v>8 / 03-04-2013</v>
      </c>
      <c r="J180" s="4">
        <v>41367</v>
      </c>
      <c r="K180" s="6">
        <v>0.79166666666666663</v>
      </c>
      <c r="L180" s="3">
        <v>28</v>
      </c>
      <c r="M180" s="3" t="s">
        <v>442</v>
      </c>
      <c r="N180" s="3" t="s">
        <v>442</v>
      </c>
      <c r="O180" s="5"/>
      <c r="P180" s="3" t="s">
        <v>22</v>
      </c>
      <c r="Q180" s="7"/>
      <c r="R180" s="7"/>
    </row>
    <row r="181" spans="1:18" ht="51" x14ac:dyDescent="0.25">
      <c r="A181" s="3" t="s">
        <v>18</v>
      </c>
      <c r="B181" s="3">
        <v>2013</v>
      </c>
      <c r="C181" s="3" t="s">
        <v>19</v>
      </c>
      <c r="D181" s="3" t="str">
        <f>"223 / 2013"</f>
        <v>223 / 2013</v>
      </c>
      <c r="E181" s="4">
        <v>41374</v>
      </c>
      <c r="F181" s="3" t="s">
        <v>447</v>
      </c>
      <c r="G181" s="5"/>
      <c r="H181" s="3" t="s">
        <v>448</v>
      </c>
      <c r="I181" s="3" t="str">
        <f t="shared" si="8"/>
        <v>8 / 03-04-2013</v>
      </c>
      <c r="J181" s="4">
        <v>41367</v>
      </c>
      <c r="K181" s="6">
        <v>0.79166666666666663</v>
      </c>
      <c r="L181" s="3">
        <v>28</v>
      </c>
      <c r="M181" s="3" t="s">
        <v>442</v>
      </c>
      <c r="N181" s="3" t="s">
        <v>442</v>
      </c>
      <c r="O181" s="5"/>
      <c r="P181" s="3" t="s">
        <v>22</v>
      </c>
      <c r="Q181" s="7"/>
      <c r="R181" s="7"/>
    </row>
    <row r="182" spans="1:18" ht="51" x14ac:dyDescent="0.25">
      <c r="A182" s="3" t="s">
        <v>18</v>
      </c>
      <c r="B182" s="3">
        <v>2013</v>
      </c>
      <c r="C182" s="3" t="s">
        <v>19</v>
      </c>
      <c r="D182" s="3" t="str">
        <f>"224 / 2013"</f>
        <v>224 / 2013</v>
      </c>
      <c r="E182" s="4">
        <v>41379</v>
      </c>
      <c r="F182" s="3" t="s">
        <v>449</v>
      </c>
      <c r="G182" s="5"/>
      <c r="H182" s="3" t="s">
        <v>450</v>
      </c>
      <c r="I182" s="3" t="str">
        <f t="shared" si="8"/>
        <v>8 / 03-04-2013</v>
      </c>
      <c r="J182" s="4">
        <v>41367</v>
      </c>
      <c r="K182" s="6">
        <v>0.79166666666666663</v>
      </c>
      <c r="L182" s="3">
        <v>29</v>
      </c>
      <c r="M182" s="3" t="s">
        <v>56</v>
      </c>
      <c r="N182" s="3" t="s">
        <v>56</v>
      </c>
      <c r="O182" s="5"/>
      <c r="P182" s="3" t="s">
        <v>22</v>
      </c>
      <c r="Q182" s="7"/>
      <c r="R182" s="7"/>
    </row>
    <row r="183" spans="1:18" ht="63.75" x14ac:dyDescent="0.25">
      <c r="A183" s="3" t="s">
        <v>18</v>
      </c>
      <c r="B183" s="3">
        <v>2013</v>
      </c>
      <c r="C183" s="3" t="s">
        <v>19</v>
      </c>
      <c r="D183" s="3" t="str">
        <f>"225 / 2013"</f>
        <v>225 / 2013</v>
      </c>
      <c r="E183" s="4">
        <v>41372</v>
      </c>
      <c r="F183" s="3" t="s">
        <v>451</v>
      </c>
      <c r="G183" s="5"/>
      <c r="H183" s="3" t="s">
        <v>452</v>
      </c>
      <c r="I183" s="3" t="str">
        <f t="shared" si="8"/>
        <v>8 / 03-04-2013</v>
      </c>
      <c r="J183" s="4">
        <v>41367</v>
      </c>
      <c r="K183" s="6">
        <v>0.79166666666666663</v>
      </c>
      <c r="L183" s="3">
        <v>31</v>
      </c>
      <c r="M183" s="3" t="s">
        <v>56</v>
      </c>
      <c r="N183" s="3" t="s">
        <v>56</v>
      </c>
      <c r="O183" s="5"/>
      <c r="P183" s="3" t="s">
        <v>22</v>
      </c>
      <c r="Q183" s="7"/>
      <c r="R183" s="7"/>
    </row>
    <row r="184" spans="1:18" ht="51" x14ac:dyDescent="0.25">
      <c r="A184" s="3" t="s">
        <v>18</v>
      </c>
      <c r="B184" s="3">
        <v>2013</v>
      </c>
      <c r="C184" s="3" t="s">
        <v>19</v>
      </c>
      <c r="D184" s="3" t="str">
        <f>"226 / 2013"</f>
        <v>226 / 2013</v>
      </c>
      <c r="E184" s="4">
        <v>41372</v>
      </c>
      <c r="F184" s="3" t="s">
        <v>453</v>
      </c>
      <c r="G184" s="5"/>
      <c r="H184" s="3" t="s">
        <v>454</v>
      </c>
      <c r="I184" s="3" t="str">
        <f t="shared" si="8"/>
        <v>8 / 03-04-2013</v>
      </c>
      <c r="J184" s="4">
        <v>41367</v>
      </c>
      <c r="K184" s="6">
        <v>0.79166666666666663</v>
      </c>
      <c r="L184" s="3">
        <v>31</v>
      </c>
      <c r="M184" s="3" t="s">
        <v>56</v>
      </c>
      <c r="N184" s="3" t="s">
        <v>56</v>
      </c>
      <c r="O184" s="5"/>
      <c r="P184" s="3" t="s">
        <v>22</v>
      </c>
      <c r="Q184" s="7"/>
      <c r="R184" s="7"/>
    </row>
    <row r="185" spans="1:18" ht="25.5" x14ac:dyDescent="0.25">
      <c r="A185" s="3" t="s">
        <v>18</v>
      </c>
      <c r="B185" s="3">
        <v>2013</v>
      </c>
      <c r="C185" s="3" t="s">
        <v>19</v>
      </c>
      <c r="D185" s="3" t="str">
        <f>"227 / 2013"</f>
        <v>227 / 2013</v>
      </c>
      <c r="E185" s="4">
        <v>41372</v>
      </c>
      <c r="F185" s="3" t="s">
        <v>455</v>
      </c>
      <c r="G185" s="5"/>
      <c r="H185" s="3" t="s">
        <v>456</v>
      </c>
      <c r="I185" s="3" t="str">
        <f t="shared" si="8"/>
        <v>8 / 03-04-2013</v>
      </c>
      <c r="J185" s="4">
        <v>41367</v>
      </c>
      <c r="K185" s="6">
        <v>0.79166666666666663</v>
      </c>
      <c r="L185" s="3">
        <v>31</v>
      </c>
      <c r="M185" s="3" t="s">
        <v>56</v>
      </c>
      <c r="N185" s="3" t="s">
        <v>56</v>
      </c>
      <c r="O185" s="5"/>
      <c r="P185" s="3" t="s">
        <v>22</v>
      </c>
      <c r="Q185" s="7"/>
      <c r="R185" s="7"/>
    </row>
    <row r="186" spans="1:18" ht="51" x14ac:dyDescent="0.25">
      <c r="A186" s="3" t="s">
        <v>18</v>
      </c>
      <c r="B186" s="3">
        <v>2013</v>
      </c>
      <c r="C186" s="3" t="s">
        <v>19</v>
      </c>
      <c r="D186" s="3" t="str">
        <f>"228 / 2013"</f>
        <v>228 / 2013</v>
      </c>
      <c r="E186" s="4">
        <v>41369</v>
      </c>
      <c r="F186" s="3" t="s">
        <v>457</v>
      </c>
      <c r="G186" s="5"/>
      <c r="H186" s="3" t="s">
        <v>458</v>
      </c>
      <c r="I186" s="3" t="str">
        <f t="shared" si="8"/>
        <v>8 / 03-04-2013</v>
      </c>
      <c r="J186" s="4">
        <v>41367</v>
      </c>
      <c r="K186" s="6">
        <v>0.79166666666666663</v>
      </c>
      <c r="L186" s="3">
        <v>32</v>
      </c>
      <c r="M186" s="3" t="s">
        <v>56</v>
      </c>
      <c r="N186" s="3" t="s">
        <v>56</v>
      </c>
      <c r="O186" s="5"/>
      <c r="P186" s="3" t="s">
        <v>22</v>
      </c>
      <c r="Q186" s="7"/>
      <c r="R186" s="7"/>
    </row>
    <row r="187" spans="1:18" ht="51" x14ac:dyDescent="0.25">
      <c r="A187" s="3" t="s">
        <v>18</v>
      </c>
      <c r="B187" s="3">
        <v>2013</v>
      </c>
      <c r="C187" s="3" t="s">
        <v>19</v>
      </c>
      <c r="D187" s="3" t="str">
        <f>"229 / 2013"</f>
        <v>229 / 2013</v>
      </c>
      <c r="E187" s="4">
        <v>41369</v>
      </c>
      <c r="F187" s="3" t="s">
        <v>459</v>
      </c>
      <c r="G187" s="5"/>
      <c r="H187" s="3" t="s">
        <v>460</v>
      </c>
      <c r="I187" s="3" t="str">
        <f t="shared" si="8"/>
        <v>8 / 03-04-2013</v>
      </c>
      <c r="J187" s="4">
        <v>41367</v>
      </c>
      <c r="K187" s="6">
        <v>0.79166666666666663</v>
      </c>
      <c r="L187" s="3">
        <v>32</v>
      </c>
      <c r="M187" s="3" t="s">
        <v>56</v>
      </c>
      <c r="N187" s="3" t="s">
        <v>56</v>
      </c>
      <c r="O187" s="5"/>
      <c r="P187" s="3" t="s">
        <v>22</v>
      </c>
      <c r="Q187" s="7"/>
      <c r="R187" s="7"/>
    </row>
    <row r="188" spans="1:18" ht="38.25" x14ac:dyDescent="0.25">
      <c r="A188" s="3" t="s">
        <v>18</v>
      </c>
      <c r="B188" s="3">
        <v>2013</v>
      </c>
      <c r="C188" s="3" t="s">
        <v>19</v>
      </c>
      <c r="D188" s="3" t="str">
        <f>"23/2013"</f>
        <v>23/2013</v>
      </c>
      <c r="E188" s="4">
        <v>41297</v>
      </c>
      <c r="F188" s="3" t="s">
        <v>461</v>
      </c>
      <c r="G188" s="5"/>
      <c r="H188" s="3" t="s">
        <v>462</v>
      </c>
      <c r="I188" s="3" t="str">
        <f>"3/23-01-2013"</f>
        <v>3/23-01-2013</v>
      </c>
      <c r="J188" s="4">
        <v>41297</v>
      </c>
      <c r="K188" s="6">
        <v>0.8125</v>
      </c>
      <c r="L188" s="3">
        <v>17</v>
      </c>
      <c r="M188" s="3" t="s">
        <v>463</v>
      </c>
      <c r="N188" s="3" t="s">
        <v>463</v>
      </c>
      <c r="O188" s="5"/>
      <c r="P188" s="3" t="s">
        <v>22</v>
      </c>
      <c r="Q188" s="7"/>
      <c r="R188" s="7"/>
    </row>
    <row r="189" spans="1:18" ht="63.75" x14ac:dyDescent="0.25">
      <c r="A189" s="3" t="s">
        <v>18</v>
      </c>
      <c r="B189" s="3">
        <v>2013</v>
      </c>
      <c r="C189" s="3" t="s">
        <v>19</v>
      </c>
      <c r="D189" s="3" t="str">
        <f>"230 / 2013"</f>
        <v>230 / 2013</v>
      </c>
      <c r="E189" s="4">
        <v>41369</v>
      </c>
      <c r="F189" s="3" t="s">
        <v>464</v>
      </c>
      <c r="G189" s="5"/>
      <c r="H189" s="3" t="s">
        <v>465</v>
      </c>
      <c r="I189" s="3" t="str">
        <f t="shared" ref="I189:I198" si="9">"8 / 03-04-2013"</f>
        <v>8 / 03-04-2013</v>
      </c>
      <c r="J189" s="4">
        <v>41367</v>
      </c>
      <c r="K189" s="6">
        <v>0.79166666666666663</v>
      </c>
      <c r="L189" s="3">
        <v>32</v>
      </c>
      <c r="M189" s="3" t="s">
        <v>56</v>
      </c>
      <c r="N189" s="3" t="s">
        <v>56</v>
      </c>
      <c r="O189" s="5"/>
      <c r="P189" s="3" t="s">
        <v>22</v>
      </c>
      <c r="Q189" s="7"/>
      <c r="R189" s="7"/>
    </row>
    <row r="190" spans="1:18" ht="63.75" x14ac:dyDescent="0.25">
      <c r="A190" s="3" t="s">
        <v>18</v>
      </c>
      <c r="B190" s="3">
        <v>2013</v>
      </c>
      <c r="C190" s="3" t="s">
        <v>19</v>
      </c>
      <c r="D190" s="3" t="str">
        <f>"231 / 2013"</f>
        <v>231 / 2013</v>
      </c>
      <c r="E190" s="4">
        <v>41369</v>
      </c>
      <c r="F190" s="3" t="s">
        <v>466</v>
      </c>
      <c r="G190" s="5"/>
      <c r="H190" s="3" t="s">
        <v>467</v>
      </c>
      <c r="I190" s="3" t="str">
        <f t="shared" si="9"/>
        <v>8 / 03-04-2013</v>
      </c>
      <c r="J190" s="4">
        <v>41367</v>
      </c>
      <c r="K190" s="6">
        <v>0.79166666666666663</v>
      </c>
      <c r="L190" s="3">
        <v>32</v>
      </c>
      <c r="M190" s="3" t="s">
        <v>56</v>
      </c>
      <c r="N190" s="3" t="s">
        <v>56</v>
      </c>
      <c r="O190" s="5"/>
      <c r="P190" s="3" t="s">
        <v>22</v>
      </c>
      <c r="Q190" s="7"/>
      <c r="R190" s="7"/>
    </row>
    <row r="191" spans="1:18" ht="51" x14ac:dyDescent="0.25">
      <c r="A191" s="3" t="s">
        <v>18</v>
      </c>
      <c r="B191" s="3">
        <v>2013</v>
      </c>
      <c r="C191" s="3" t="s">
        <v>19</v>
      </c>
      <c r="D191" s="3" t="str">
        <f>"232 / 2013"</f>
        <v>232 / 2013</v>
      </c>
      <c r="E191" s="4">
        <v>41369</v>
      </c>
      <c r="F191" s="3" t="s">
        <v>468</v>
      </c>
      <c r="G191" s="5"/>
      <c r="H191" s="3" t="s">
        <v>469</v>
      </c>
      <c r="I191" s="3" t="str">
        <f t="shared" si="9"/>
        <v>8 / 03-04-2013</v>
      </c>
      <c r="J191" s="4">
        <v>41367</v>
      </c>
      <c r="K191" s="6">
        <v>0.79166666666666663</v>
      </c>
      <c r="L191" s="3">
        <v>32</v>
      </c>
      <c r="M191" s="3" t="s">
        <v>56</v>
      </c>
      <c r="N191" s="3" t="s">
        <v>56</v>
      </c>
      <c r="O191" s="5"/>
      <c r="P191" s="3" t="s">
        <v>22</v>
      </c>
      <c r="Q191" s="7"/>
      <c r="R191" s="7"/>
    </row>
    <row r="192" spans="1:18" ht="63.75" x14ac:dyDescent="0.25">
      <c r="A192" s="3" t="s">
        <v>18</v>
      </c>
      <c r="B192" s="3">
        <v>2013</v>
      </c>
      <c r="C192" s="3" t="s">
        <v>19</v>
      </c>
      <c r="D192" s="3" t="str">
        <f>"233 / 2013"</f>
        <v>233 / 2013</v>
      </c>
      <c r="E192" s="4">
        <v>41369</v>
      </c>
      <c r="F192" s="3" t="s">
        <v>470</v>
      </c>
      <c r="G192" s="5"/>
      <c r="H192" s="3" t="s">
        <v>471</v>
      </c>
      <c r="I192" s="3" t="str">
        <f t="shared" si="9"/>
        <v>8 / 03-04-2013</v>
      </c>
      <c r="J192" s="4">
        <v>41367</v>
      </c>
      <c r="K192" s="6">
        <v>0.79166666666666663</v>
      </c>
      <c r="L192" s="3">
        <v>32</v>
      </c>
      <c r="M192" s="3" t="s">
        <v>56</v>
      </c>
      <c r="N192" s="3" t="s">
        <v>56</v>
      </c>
      <c r="O192" s="5"/>
      <c r="P192" s="3" t="s">
        <v>22</v>
      </c>
      <c r="Q192" s="7"/>
      <c r="R192" s="7"/>
    </row>
    <row r="193" spans="1:18" ht="51" x14ac:dyDescent="0.25">
      <c r="A193" s="3" t="s">
        <v>18</v>
      </c>
      <c r="B193" s="3">
        <v>2013</v>
      </c>
      <c r="C193" s="3" t="s">
        <v>19</v>
      </c>
      <c r="D193" s="3" t="str">
        <f>"234 / 2013"</f>
        <v>234 / 2013</v>
      </c>
      <c r="E193" s="4">
        <v>41369</v>
      </c>
      <c r="F193" s="3" t="s">
        <v>472</v>
      </c>
      <c r="G193" s="5"/>
      <c r="H193" s="3" t="s">
        <v>473</v>
      </c>
      <c r="I193" s="3" t="str">
        <f t="shared" si="9"/>
        <v>8 / 03-04-2013</v>
      </c>
      <c r="J193" s="4">
        <v>41367</v>
      </c>
      <c r="K193" s="6">
        <v>0.79166666666666663</v>
      </c>
      <c r="L193" s="3">
        <v>32</v>
      </c>
      <c r="M193" s="3" t="s">
        <v>56</v>
      </c>
      <c r="N193" s="3" t="s">
        <v>56</v>
      </c>
      <c r="O193" s="5"/>
      <c r="P193" s="3" t="s">
        <v>22</v>
      </c>
      <c r="Q193" s="7"/>
      <c r="R193" s="7"/>
    </row>
    <row r="194" spans="1:18" ht="76.5" x14ac:dyDescent="0.25">
      <c r="A194" s="3" t="s">
        <v>18</v>
      </c>
      <c r="B194" s="3">
        <v>2013</v>
      </c>
      <c r="C194" s="3" t="s">
        <v>19</v>
      </c>
      <c r="D194" s="3" t="str">
        <f>"235 / 2013"</f>
        <v>235 / 2013</v>
      </c>
      <c r="E194" s="4">
        <v>41369</v>
      </c>
      <c r="F194" s="3" t="s">
        <v>474</v>
      </c>
      <c r="G194" s="5"/>
      <c r="H194" s="3" t="s">
        <v>475</v>
      </c>
      <c r="I194" s="3" t="str">
        <f t="shared" si="9"/>
        <v>8 / 03-04-2013</v>
      </c>
      <c r="J194" s="4">
        <v>41367</v>
      </c>
      <c r="K194" s="6">
        <v>0.79166666666666663</v>
      </c>
      <c r="L194" s="3">
        <v>32</v>
      </c>
      <c r="M194" s="3" t="s">
        <v>56</v>
      </c>
      <c r="N194" s="3" t="s">
        <v>56</v>
      </c>
      <c r="O194" s="5"/>
      <c r="P194" s="3" t="s">
        <v>22</v>
      </c>
      <c r="Q194" s="7"/>
      <c r="R194" s="7"/>
    </row>
    <row r="195" spans="1:18" ht="51" x14ac:dyDescent="0.25">
      <c r="A195" s="3" t="s">
        <v>18</v>
      </c>
      <c r="B195" s="3">
        <v>2013</v>
      </c>
      <c r="C195" s="3" t="s">
        <v>19</v>
      </c>
      <c r="D195" s="3" t="str">
        <f>"236 / 2013"</f>
        <v>236 / 2013</v>
      </c>
      <c r="E195" s="4">
        <v>41369</v>
      </c>
      <c r="F195" s="3" t="s">
        <v>476</v>
      </c>
      <c r="G195" s="5"/>
      <c r="H195" s="3" t="s">
        <v>477</v>
      </c>
      <c r="I195" s="3" t="str">
        <f t="shared" si="9"/>
        <v>8 / 03-04-2013</v>
      </c>
      <c r="J195" s="4">
        <v>41367</v>
      </c>
      <c r="K195" s="6">
        <v>0.79166666666666663</v>
      </c>
      <c r="L195" s="3">
        <v>32</v>
      </c>
      <c r="M195" s="3" t="s">
        <v>56</v>
      </c>
      <c r="N195" s="3" t="s">
        <v>56</v>
      </c>
      <c r="O195" s="5"/>
      <c r="P195" s="3" t="s">
        <v>22</v>
      </c>
      <c r="Q195" s="7"/>
      <c r="R195" s="7"/>
    </row>
    <row r="196" spans="1:18" ht="63.75" x14ac:dyDescent="0.25">
      <c r="A196" s="3" t="s">
        <v>18</v>
      </c>
      <c r="B196" s="3">
        <v>2013</v>
      </c>
      <c r="C196" s="3" t="s">
        <v>19</v>
      </c>
      <c r="D196" s="3" t="str">
        <f>"237 / 2013"</f>
        <v>237 / 2013</v>
      </c>
      <c r="E196" s="4">
        <v>41373</v>
      </c>
      <c r="F196" s="3" t="s">
        <v>478</v>
      </c>
      <c r="G196" s="5"/>
      <c r="H196" s="3" t="s">
        <v>479</v>
      </c>
      <c r="I196" s="3" t="str">
        <f t="shared" si="9"/>
        <v>8 / 03-04-2013</v>
      </c>
      <c r="J196" s="4">
        <v>41367</v>
      </c>
      <c r="K196" s="6">
        <v>0.79166666666666663</v>
      </c>
      <c r="L196" s="3">
        <v>33</v>
      </c>
      <c r="M196" s="3" t="s">
        <v>178</v>
      </c>
      <c r="N196" s="3" t="s">
        <v>178</v>
      </c>
      <c r="O196" s="5"/>
      <c r="P196" s="3" t="s">
        <v>22</v>
      </c>
      <c r="Q196" s="7"/>
      <c r="R196" s="7"/>
    </row>
    <row r="197" spans="1:18" ht="51" x14ac:dyDescent="0.25">
      <c r="A197" s="3" t="s">
        <v>18</v>
      </c>
      <c r="B197" s="3">
        <v>2013</v>
      </c>
      <c r="C197" s="3" t="s">
        <v>19</v>
      </c>
      <c r="D197" s="3" t="str">
        <f>"238 / 2013"</f>
        <v>238 / 2013</v>
      </c>
      <c r="E197" s="4">
        <v>41374</v>
      </c>
      <c r="F197" s="3" t="s">
        <v>480</v>
      </c>
      <c r="G197" s="5"/>
      <c r="H197" s="3" t="s">
        <v>481</v>
      </c>
      <c r="I197" s="3" t="str">
        <f t="shared" si="9"/>
        <v>8 / 03-04-2013</v>
      </c>
      <c r="J197" s="4">
        <v>41367</v>
      </c>
      <c r="K197" s="6">
        <v>0.79166666666666663</v>
      </c>
      <c r="L197" s="3">
        <v>34</v>
      </c>
      <c r="M197" s="3" t="s">
        <v>56</v>
      </c>
      <c r="N197" s="3" t="s">
        <v>56</v>
      </c>
      <c r="O197" s="5"/>
      <c r="P197" s="3" t="s">
        <v>22</v>
      </c>
      <c r="Q197" s="7"/>
      <c r="R197" s="7"/>
    </row>
    <row r="198" spans="1:18" ht="89.25" x14ac:dyDescent="0.25">
      <c r="A198" s="3" t="s">
        <v>18</v>
      </c>
      <c r="B198" s="3">
        <v>2013</v>
      </c>
      <c r="C198" s="3" t="s">
        <v>19</v>
      </c>
      <c r="D198" s="3" t="str">
        <f>"239 / 2013"</f>
        <v>239 / 2013</v>
      </c>
      <c r="E198" s="4">
        <v>41369</v>
      </c>
      <c r="F198" s="3" t="s">
        <v>482</v>
      </c>
      <c r="G198" s="5"/>
      <c r="H198" s="3" t="s">
        <v>483</v>
      </c>
      <c r="I198" s="3" t="str">
        <f t="shared" si="9"/>
        <v>8 / 03-04-2013</v>
      </c>
      <c r="J198" s="4">
        <v>41367</v>
      </c>
      <c r="K198" s="6">
        <v>0.79166666666666663</v>
      </c>
      <c r="L198" s="3">
        <v>35</v>
      </c>
      <c r="M198" s="3" t="s">
        <v>484</v>
      </c>
      <c r="N198" s="3" t="s">
        <v>484</v>
      </c>
      <c r="O198" s="5"/>
      <c r="P198" s="3" t="s">
        <v>22</v>
      </c>
      <c r="Q198" s="7"/>
      <c r="R198" s="7"/>
    </row>
    <row r="199" spans="1:18" ht="38.25" x14ac:dyDescent="0.25">
      <c r="A199" s="3" t="s">
        <v>18</v>
      </c>
      <c r="B199" s="3">
        <v>2013</v>
      </c>
      <c r="C199" s="3" t="s">
        <v>19</v>
      </c>
      <c r="D199" s="3" t="str">
        <f>"24/2013"</f>
        <v>24/2013</v>
      </c>
      <c r="E199" s="4">
        <v>41297</v>
      </c>
      <c r="F199" s="3" t="s">
        <v>485</v>
      </c>
      <c r="G199" s="5"/>
      <c r="H199" s="3" t="s">
        <v>486</v>
      </c>
      <c r="I199" s="3" t="str">
        <f>"3/23-01-2013"</f>
        <v>3/23-01-2013</v>
      </c>
      <c r="J199" s="4">
        <v>41297</v>
      </c>
      <c r="K199" s="6">
        <v>0.8125</v>
      </c>
      <c r="L199" s="3">
        <v>18</v>
      </c>
      <c r="M199" s="3" t="s">
        <v>487</v>
      </c>
      <c r="N199" s="3" t="s">
        <v>487</v>
      </c>
      <c r="O199" s="5"/>
      <c r="P199" s="3" t="s">
        <v>22</v>
      </c>
      <c r="Q199" s="7"/>
      <c r="R199" s="7"/>
    </row>
    <row r="200" spans="1:18" ht="51" x14ac:dyDescent="0.25">
      <c r="A200" s="3" t="s">
        <v>18</v>
      </c>
      <c r="B200" s="3">
        <v>2013</v>
      </c>
      <c r="C200" s="3" t="s">
        <v>19</v>
      </c>
      <c r="D200" s="3" t="str">
        <f>"240 / 2013"</f>
        <v>240 / 2013</v>
      </c>
      <c r="E200" s="4">
        <v>41369</v>
      </c>
      <c r="F200" s="3" t="s">
        <v>488</v>
      </c>
      <c r="G200" s="5"/>
      <c r="H200" s="3" t="s">
        <v>489</v>
      </c>
      <c r="I200" s="3" t="str">
        <f>"8 / 03-04-2013"</f>
        <v>8 / 03-04-2013</v>
      </c>
      <c r="J200" s="4">
        <v>41367</v>
      </c>
      <c r="K200" s="6">
        <v>0.79166666666666663</v>
      </c>
      <c r="L200" s="3">
        <v>36</v>
      </c>
      <c r="M200" s="3" t="s">
        <v>355</v>
      </c>
      <c r="N200" s="3" t="s">
        <v>355</v>
      </c>
      <c r="O200" s="5"/>
      <c r="P200" s="3" t="s">
        <v>22</v>
      </c>
      <c r="Q200" s="7"/>
      <c r="R200" s="7"/>
    </row>
    <row r="201" spans="1:18" ht="51" x14ac:dyDescent="0.25">
      <c r="A201" s="3" t="s">
        <v>18</v>
      </c>
      <c r="B201" s="3">
        <v>2013</v>
      </c>
      <c r="C201" s="3" t="s">
        <v>19</v>
      </c>
      <c r="D201" s="3" t="str">
        <f>"241 / 2013"</f>
        <v>241 / 2013</v>
      </c>
      <c r="E201" s="4">
        <v>41369</v>
      </c>
      <c r="F201" s="3" t="s">
        <v>490</v>
      </c>
      <c r="G201" s="5"/>
      <c r="H201" s="3" t="s">
        <v>491</v>
      </c>
      <c r="I201" s="3" t="str">
        <f>"8 / 03-04-2013"</f>
        <v>8 / 03-04-2013</v>
      </c>
      <c r="J201" s="4">
        <v>41367</v>
      </c>
      <c r="K201" s="6">
        <v>0.79166666666666663</v>
      </c>
      <c r="L201" s="3">
        <v>37</v>
      </c>
      <c r="M201" s="3" t="s">
        <v>32</v>
      </c>
      <c r="N201" s="3" t="s">
        <v>32</v>
      </c>
      <c r="O201" s="5"/>
      <c r="P201" s="3" t="s">
        <v>22</v>
      </c>
      <c r="Q201" s="7"/>
      <c r="R201" s="7"/>
    </row>
    <row r="202" spans="1:18" ht="89.25" x14ac:dyDescent="0.25">
      <c r="A202" s="3" t="s">
        <v>18</v>
      </c>
      <c r="B202" s="3">
        <v>2013</v>
      </c>
      <c r="C202" s="3" t="s">
        <v>19</v>
      </c>
      <c r="D202" s="3" t="str">
        <f>"242 / 2013"</f>
        <v>242 / 2013</v>
      </c>
      <c r="E202" s="4">
        <v>41375</v>
      </c>
      <c r="F202" s="3" t="s">
        <v>492</v>
      </c>
      <c r="G202" s="5"/>
      <c r="H202" s="3" t="s">
        <v>493</v>
      </c>
      <c r="I202" s="3" t="str">
        <f>"8 / 03-04-2013"</f>
        <v>8 / 03-04-2013</v>
      </c>
      <c r="J202" s="4">
        <v>41367</v>
      </c>
      <c r="K202" s="6">
        <v>0.79166666666666663</v>
      </c>
      <c r="L202" s="5"/>
      <c r="M202" s="3" t="s">
        <v>324</v>
      </c>
      <c r="N202" s="3" t="s">
        <v>324</v>
      </c>
      <c r="O202" s="5"/>
      <c r="P202" s="3" t="s">
        <v>74</v>
      </c>
      <c r="Q202" s="7"/>
      <c r="R202" s="7"/>
    </row>
    <row r="203" spans="1:18" ht="76.5" x14ac:dyDescent="0.25">
      <c r="A203" s="3" t="s">
        <v>18</v>
      </c>
      <c r="B203" s="3">
        <v>2013</v>
      </c>
      <c r="C203" s="3" t="s">
        <v>19</v>
      </c>
      <c r="D203" s="3" t="str">
        <f>"243 / 2013"</f>
        <v>243 / 2013</v>
      </c>
      <c r="E203" s="4">
        <v>41393</v>
      </c>
      <c r="F203" s="3" t="s">
        <v>494</v>
      </c>
      <c r="G203" s="5"/>
      <c r="H203" s="3" t="s">
        <v>495</v>
      </c>
      <c r="I203" s="3" t="str">
        <f>"9 / 17-04-2013"</f>
        <v>9 / 17-04-2013</v>
      </c>
      <c r="J203" s="4">
        <v>41381</v>
      </c>
      <c r="K203" s="6">
        <v>0.79166666666666663</v>
      </c>
      <c r="L203" s="3">
        <v>1</v>
      </c>
      <c r="M203" s="3" t="s">
        <v>496</v>
      </c>
      <c r="N203" s="3" t="s">
        <v>496</v>
      </c>
      <c r="O203" s="5"/>
      <c r="P203" s="3" t="s">
        <v>22</v>
      </c>
      <c r="Q203" s="7"/>
      <c r="R203" s="7"/>
    </row>
    <row r="204" spans="1:18" ht="114.75" x14ac:dyDescent="0.25">
      <c r="A204" s="3" t="s">
        <v>18</v>
      </c>
      <c r="B204" s="3">
        <v>2013</v>
      </c>
      <c r="C204" s="3" t="s">
        <v>19</v>
      </c>
      <c r="D204" s="3" t="str">
        <f>"244 / 2013"</f>
        <v>244 / 2013</v>
      </c>
      <c r="E204" s="4">
        <v>41382</v>
      </c>
      <c r="F204" s="3" t="s">
        <v>497</v>
      </c>
      <c r="G204" s="5"/>
      <c r="H204" s="3" t="s">
        <v>498</v>
      </c>
      <c r="I204" s="3" t="str">
        <f>"9 / 17-04-2013"</f>
        <v>9 / 17-04-2013</v>
      </c>
      <c r="J204" s="4">
        <v>41381</v>
      </c>
      <c r="K204" s="6">
        <v>0.79166666666666663</v>
      </c>
      <c r="L204" s="3">
        <v>2</v>
      </c>
      <c r="M204" s="3" t="s">
        <v>324</v>
      </c>
      <c r="N204" s="3" t="s">
        <v>324</v>
      </c>
      <c r="O204" s="5"/>
      <c r="P204" s="3" t="s">
        <v>22</v>
      </c>
      <c r="Q204" s="7"/>
      <c r="R204" s="7"/>
    </row>
    <row r="205" spans="1:18" ht="76.5" x14ac:dyDescent="0.25">
      <c r="A205" s="3" t="s">
        <v>18</v>
      </c>
      <c r="B205" s="3">
        <v>2013</v>
      </c>
      <c r="C205" s="3" t="s">
        <v>19</v>
      </c>
      <c r="D205" s="3" t="str">
        <f>"245 / 2013"</f>
        <v>245 / 2013</v>
      </c>
      <c r="E205" s="4">
        <v>41386</v>
      </c>
      <c r="F205" s="3" t="s">
        <v>499</v>
      </c>
      <c r="G205" s="5"/>
      <c r="H205" s="3" t="s">
        <v>500</v>
      </c>
      <c r="I205" s="3" t="str">
        <f>"9/ 17-04-2013"</f>
        <v>9/ 17-04-2013</v>
      </c>
      <c r="J205" s="4">
        <v>41381</v>
      </c>
      <c r="K205" s="6">
        <v>0.79166666666666663</v>
      </c>
      <c r="L205" s="3">
        <v>3</v>
      </c>
      <c r="M205" s="3" t="s">
        <v>501</v>
      </c>
      <c r="N205" s="3" t="s">
        <v>501</v>
      </c>
      <c r="O205" s="5"/>
      <c r="P205" s="3" t="s">
        <v>22</v>
      </c>
      <c r="Q205" s="7"/>
      <c r="R205" s="7"/>
    </row>
    <row r="206" spans="1:18" ht="178.5" x14ac:dyDescent="0.25">
      <c r="A206" s="3" t="s">
        <v>18</v>
      </c>
      <c r="B206" s="3">
        <v>2013</v>
      </c>
      <c r="C206" s="3" t="s">
        <v>19</v>
      </c>
      <c r="D206" s="3" t="str">
        <f>"246 / 2013"</f>
        <v>246 / 2013</v>
      </c>
      <c r="E206" s="4">
        <v>41396</v>
      </c>
      <c r="F206" s="3" t="s">
        <v>502</v>
      </c>
      <c r="G206" s="5"/>
      <c r="H206" s="3" t="s">
        <v>503</v>
      </c>
      <c r="I206" s="3" t="str">
        <f>"9 / 17-04-2013"</f>
        <v>9 / 17-04-2013</v>
      </c>
      <c r="J206" s="4">
        <v>41381</v>
      </c>
      <c r="K206" s="6">
        <v>0.79166666666666663</v>
      </c>
      <c r="L206" s="3">
        <v>4</v>
      </c>
      <c r="M206" s="3" t="s">
        <v>324</v>
      </c>
      <c r="N206" s="3" t="s">
        <v>324</v>
      </c>
      <c r="O206" s="5"/>
      <c r="P206" s="3" t="s">
        <v>22</v>
      </c>
      <c r="Q206" s="7"/>
      <c r="R206" s="7"/>
    </row>
    <row r="207" spans="1:18" ht="76.5" x14ac:dyDescent="0.25">
      <c r="A207" s="3" t="s">
        <v>18</v>
      </c>
      <c r="B207" s="3">
        <v>2013</v>
      </c>
      <c r="C207" s="3" t="s">
        <v>19</v>
      </c>
      <c r="D207" s="3" t="str">
        <f>"247 / 2013"</f>
        <v>247 / 2013</v>
      </c>
      <c r="E207" s="4">
        <v>41393</v>
      </c>
      <c r="F207" s="3" t="s">
        <v>504</v>
      </c>
      <c r="G207" s="5"/>
      <c r="H207" s="3" t="s">
        <v>505</v>
      </c>
      <c r="I207" s="3" t="str">
        <f>"9 / 17-04-2013"</f>
        <v>9 / 17-04-2013</v>
      </c>
      <c r="J207" s="4">
        <v>41381</v>
      </c>
      <c r="K207" s="6">
        <v>0.79166666666666663</v>
      </c>
      <c r="L207" s="3">
        <v>5</v>
      </c>
      <c r="M207" s="3" t="s">
        <v>324</v>
      </c>
      <c r="N207" s="3" t="s">
        <v>324</v>
      </c>
      <c r="O207" s="5"/>
      <c r="P207" s="3" t="s">
        <v>22</v>
      </c>
      <c r="Q207" s="7"/>
      <c r="R207" s="7"/>
    </row>
    <row r="208" spans="1:18" ht="89.25" x14ac:dyDescent="0.25">
      <c r="A208" s="3" t="s">
        <v>18</v>
      </c>
      <c r="B208" s="3">
        <v>2013</v>
      </c>
      <c r="C208" s="3" t="s">
        <v>19</v>
      </c>
      <c r="D208" s="3" t="str">
        <f>"248 / 2013"</f>
        <v>248 / 2013</v>
      </c>
      <c r="E208" s="4">
        <v>41386</v>
      </c>
      <c r="F208" s="3" t="s">
        <v>506</v>
      </c>
      <c r="G208" s="5"/>
      <c r="H208" s="3" t="s">
        <v>507</v>
      </c>
      <c r="I208" s="3" t="str">
        <f>"9 / 17-04-2013"</f>
        <v>9 / 17-04-2013</v>
      </c>
      <c r="J208" s="4">
        <v>41381</v>
      </c>
      <c r="K208" s="6">
        <v>0.79166666666666663</v>
      </c>
      <c r="L208" s="3">
        <v>6</v>
      </c>
      <c r="M208" s="3" t="s">
        <v>330</v>
      </c>
      <c r="N208" s="3" t="s">
        <v>330</v>
      </c>
      <c r="O208" s="5"/>
      <c r="P208" s="3" t="s">
        <v>22</v>
      </c>
      <c r="Q208" s="7"/>
      <c r="R208" s="7"/>
    </row>
    <row r="209" spans="1:18" ht="89.25" x14ac:dyDescent="0.25">
      <c r="A209" s="3" t="s">
        <v>18</v>
      </c>
      <c r="B209" s="3">
        <v>2013</v>
      </c>
      <c r="C209" s="3" t="s">
        <v>19</v>
      </c>
      <c r="D209" s="3" t="str">
        <f>"249 / 2013"</f>
        <v>249 / 2013</v>
      </c>
      <c r="E209" s="4">
        <v>41382</v>
      </c>
      <c r="F209" s="3" t="s">
        <v>508</v>
      </c>
      <c r="G209" s="5"/>
      <c r="H209" s="3" t="s">
        <v>509</v>
      </c>
      <c r="I209" s="3" t="str">
        <f>"9 / 17-04-2013"</f>
        <v>9 / 17-04-2013</v>
      </c>
      <c r="J209" s="4">
        <v>41381</v>
      </c>
      <c r="K209" s="6">
        <v>0.79166666666666663</v>
      </c>
      <c r="L209" s="3">
        <v>7</v>
      </c>
      <c r="M209" s="3" t="s">
        <v>484</v>
      </c>
      <c r="N209" s="3" t="s">
        <v>484</v>
      </c>
      <c r="O209" s="5"/>
      <c r="P209" s="3" t="s">
        <v>22</v>
      </c>
      <c r="Q209" s="7"/>
      <c r="R209" s="7"/>
    </row>
    <row r="210" spans="1:18" ht="63.75" x14ac:dyDescent="0.25">
      <c r="A210" s="3" t="s">
        <v>18</v>
      </c>
      <c r="B210" s="3">
        <v>2013</v>
      </c>
      <c r="C210" s="3" t="s">
        <v>19</v>
      </c>
      <c r="D210" s="3" t="str">
        <f>"25/2013"</f>
        <v>25/2013</v>
      </c>
      <c r="E210" s="4">
        <v>41297</v>
      </c>
      <c r="F210" s="3" t="s">
        <v>510</v>
      </c>
      <c r="G210" s="5"/>
      <c r="H210" s="3" t="s">
        <v>511</v>
      </c>
      <c r="I210" s="3" t="str">
        <f>"3/23-01-2013"</f>
        <v>3/23-01-2013</v>
      </c>
      <c r="J210" s="4">
        <v>41297</v>
      </c>
      <c r="K210" s="6">
        <v>0.8125</v>
      </c>
      <c r="L210" s="3">
        <v>19</v>
      </c>
      <c r="M210" s="3" t="s">
        <v>512</v>
      </c>
      <c r="N210" s="3" t="s">
        <v>512</v>
      </c>
      <c r="O210" s="5"/>
      <c r="P210" s="3" t="s">
        <v>22</v>
      </c>
      <c r="Q210" s="7"/>
      <c r="R210" s="7"/>
    </row>
    <row r="211" spans="1:18" ht="38.25" x14ac:dyDescent="0.25">
      <c r="A211" s="3" t="s">
        <v>18</v>
      </c>
      <c r="B211" s="3">
        <v>2013</v>
      </c>
      <c r="C211" s="3" t="s">
        <v>19</v>
      </c>
      <c r="D211" s="3" t="str">
        <f>"250 / 2013"</f>
        <v>250 / 2013</v>
      </c>
      <c r="E211" s="4">
        <v>41382</v>
      </c>
      <c r="F211" s="3" t="s">
        <v>513</v>
      </c>
      <c r="G211" s="5"/>
      <c r="H211" s="3" t="s">
        <v>514</v>
      </c>
      <c r="I211" s="3" t="str">
        <f t="shared" ref="I211:I220" si="10">"9 / 17-04-2013"</f>
        <v>9 / 17-04-2013</v>
      </c>
      <c r="J211" s="4">
        <v>41381</v>
      </c>
      <c r="K211" s="6">
        <v>0.79166666666666663</v>
      </c>
      <c r="L211" s="3">
        <v>7</v>
      </c>
      <c r="M211" s="3" t="s">
        <v>56</v>
      </c>
      <c r="N211" s="3" t="s">
        <v>56</v>
      </c>
      <c r="O211" s="5"/>
      <c r="P211" s="3" t="s">
        <v>22</v>
      </c>
      <c r="Q211" s="7"/>
      <c r="R211" s="7"/>
    </row>
    <row r="212" spans="1:18" ht="89.25" x14ac:dyDescent="0.25">
      <c r="A212" s="3" t="s">
        <v>18</v>
      </c>
      <c r="B212" s="3">
        <v>2013</v>
      </c>
      <c r="C212" s="3" t="s">
        <v>19</v>
      </c>
      <c r="D212" s="3" t="str">
        <f>"251 / 2013"</f>
        <v>251 / 2013</v>
      </c>
      <c r="E212" s="4">
        <v>41389</v>
      </c>
      <c r="F212" s="3" t="s">
        <v>515</v>
      </c>
      <c r="G212" s="5"/>
      <c r="H212" s="3" t="s">
        <v>516</v>
      </c>
      <c r="I212" s="3" t="str">
        <f t="shared" si="10"/>
        <v>9 / 17-04-2013</v>
      </c>
      <c r="J212" s="4">
        <v>41381</v>
      </c>
      <c r="K212" s="6">
        <v>0.79166666666666663</v>
      </c>
      <c r="L212" s="3">
        <v>7</v>
      </c>
      <c r="M212" s="3" t="s">
        <v>330</v>
      </c>
      <c r="N212" s="3" t="s">
        <v>330</v>
      </c>
      <c r="O212" s="5"/>
      <c r="P212" s="3" t="s">
        <v>22</v>
      </c>
      <c r="Q212" s="7"/>
      <c r="R212" s="7"/>
    </row>
    <row r="213" spans="1:18" ht="89.25" x14ac:dyDescent="0.25">
      <c r="A213" s="3" t="s">
        <v>18</v>
      </c>
      <c r="B213" s="3">
        <v>2013</v>
      </c>
      <c r="C213" s="3" t="s">
        <v>19</v>
      </c>
      <c r="D213" s="3" t="str">
        <f>"252 / 2013"</f>
        <v>252 / 2013</v>
      </c>
      <c r="E213" s="4">
        <v>41386</v>
      </c>
      <c r="F213" s="3" t="s">
        <v>517</v>
      </c>
      <c r="G213" s="5"/>
      <c r="H213" s="3" t="s">
        <v>518</v>
      </c>
      <c r="I213" s="3" t="str">
        <f t="shared" si="10"/>
        <v>9 / 17-04-2013</v>
      </c>
      <c r="J213" s="4">
        <v>41381</v>
      </c>
      <c r="K213" s="6">
        <v>0.79166666666666663</v>
      </c>
      <c r="L213" s="3">
        <v>7</v>
      </c>
      <c r="M213" s="3" t="s">
        <v>484</v>
      </c>
      <c r="N213" s="3" t="s">
        <v>484</v>
      </c>
      <c r="O213" s="5"/>
      <c r="P213" s="3" t="s">
        <v>22</v>
      </c>
      <c r="Q213" s="7"/>
      <c r="R213" s="7"/>
    </row>
    <row r="214" spans="1:18" ht="38.25" x14ac:dyDescent="0.25">
      <c r="A214" s="3" t="s">
        <v>18</v>
      </c>
      <c r="B214" s="3">
        <v>2013</v>
      </c>
      <c r="C214" s="3" t="s">
        <v>19</v>
      </c>
      <c r="D214" s="3" t="str">
        <f>"253 / 2013"</f>
        <v>253 / 2013</v>
      </c>
      <c r="E214" s="4">
        <v>41389</v>
      </c>
      <c r="F214" s="3" t="s">
        <v>519</v>
      </c>
      <c r="G214" s="5"/>
      <c r="H214" s="3" t="s">
        <v>520</v>
      </c>
      <c r="I214" s="3" t="str">
        <f t="shared" si="10"/>
        <v>9 / 17-04-2013</v>
      </c>
      <c r="J214" s="4">
        <v>41381</v>
      </c>
      <c r="K214" s="6">
        <v>0.79166666666666663</v>
      </c>
      <c r="L214" s="3">
        <v>7</v>
      </c>
      <c r="M214" s="3" t="s">
        <v>50</v>
      </c>
      <c r="N214" s="3" t="s">
        <v>50</v>
      </c>
      <c r="O214" s="5"/>
      <c r="P214" s="3" t="s">
        <v>22</v>
      </c>
      <c r="Q214" s="7"/>
      <c r="R214" s="7"/>
    </row>
    <row r="215" spans="1:18" ht="51" x14ac:dyDescent="0.25">
      <c r="A215" s="3" t="s">
        <v>18</v>
      </c>
      <c r="B215" s="3">
        <v>2013</v>
      </c>
      <c r="C215" s="3" t="s">
        <v>19</v>
      </c>
      <c r="D215" s="3" t="str">
        <f>"254 / 2013"</f>
        <v>254 / 2013</v>
      </c>
      <c r="E215" s="4">
        <v>41386</v>
      </c>
      <c r="F215" s="3" t="s">
        <v>521</v>
      </c>
      <c r="G215" s="5"/>
      <c r="H215" s="3" t="s">
        <v>522</v>
      </c>
      <c r="I215" s="3" t="str">
        <f t="shared" si="10"/>
        <v>9 / 17-04-2013</v>
      </c>
      <c r="J215" s="4">
        <v>41381</v>
      </c>
      <c r="K215" s="6">
        <v>0.79166666666666663</v>
      </c>
      <c r="L215" s="3">
        <v>7</v>
      </c>
      <c r="M215" s="3" t="s">
        <v>50</v>
      </c>
      <c r="N215" s="3" t="s">
        <v>50</v>
      </c>
      <c r="O215" s="5"/>
      <c r="P215" s="3" t="s">
        <v>22</v>
      </c>
      <c r="Q215" s="7"/>
      <c r="R215" s="7"/>
    </row>
    <row r="216" spans="1:18" ht="114.75" x14ac:dyDescent="0.25">
      <c r="A216" s="3" t="s">
        <v>18</v>
      </c>
      <c r="B216" s="3">
        <v>2013</v>
      </c>
      <c r="C216" s="3" t="s">
        <v>19</v>
      </c>
      <c r="D216" s="3" t="str">
        <f>"255 / 2013"</f>
        <v>255 / 2013</v>
      </c>
      <c r="E216" s="4">
        <v>41389</v>
      </c>
      <c r="F216" s="3" t="s">
        <v>523</v>
      </c>
      <c r="G216" s="5"/>
      <c r="H216" s="3" t="s">
        <v>524</v>
      </c>
      <c r="I216" s="3" t="str">
        <f t="shared" si="10"/>
        <v>9 / 17-04-2013</v>
      </c>
      <c r="J216" s="4">
        <v>41381</v>
      </c>
      <c r="K216" s="6">
        <v>0.79166666666666663</v>
      </c>
      <c r="L216" s="3">
        <v>7</v>
      </c>
      <c r="M216" s="3" t="s">
        <v>525</v>
      </c>
      <c r="N216" s="3" t="s">
        <v>525</v>
      </c>
      <c r="O216" s="5"/>
      <c r="P216" s="3" t="s">
        <v>22</v>
      </c>
      <c r="Q216" s="7"/>
      <c r="R216" s="7"/>
    </row>
    <row r="217" spans="1:18" ht="216.75" x14ac:dyDescent="0.25">
      <c r="A217" s="3" t="s">
        <v>18</v>
      </c>
      <c r="B217" s="3">
        <v>2013</v>
      </c>
      <c r="C217" s="3" t="s">
        <v>19</v>
      </c>
      <c r="D217" s="3" t="str">
        <f>"256 / 2013"</f>
        <v>256 / 2013</v>
      </c>
      <c r="E217" s="4">
        <v>41386</v>
      </c>
      <c r="F217" s="3" t="s">
        <v>526</v>
      </c>
      <c r="G217" s="5"/>
      <c r="H217" s="3" t="s">
        <v>527</v>
      </c>
      <c r="I217" s="3" t="str">
        <f t="shared" si="10"/>
        <v>9 / 17-04-2013</v>
      </c>
      <c r="J217" s="4">
        <v>41381</v>
      </c>
      <c r="K217" s="6">
        <v>0.79166666666666663</v>
      </c>
      <c r="L217" s="3">
        <v>7</v>
      </c>
      <c r="M217" s="3" t="s">
        <v>324</v>
      </c>
      <c r="N217" s="3" t="s">
        <v>324</v>
      </c>
      <c r="O217" s="5"/>
      <c r="P217" s="3" t="s">
        <v>22</v>
      </c>
      <c r="Q217" s="7"/>
      <c r="R217" s="7"/>
    </row>
    <row r="218" spans="1:18" ht="63.75" x14ac:dyDescent="0.25">
      <c r="A218" s="3" t="s">
        <v>18</v>
      </c>
      <c r="B218" s="3">
        <v>2013</v>
      </c>
      <c r="C218" s="3" t="s">
        <v>19</v>
      </c>
      <c r="D218" s="3" t="str">
        <f>"257 / 2013"</f>
        <v>257 / 2013</v>
      </c>
      <c r="E218" s="4">
        <v>41389</v>
      </c>
      <c r="F218" s="3" t="s">
        <v>528</v>
      </c>
      <c r="G218" s="5"/>
      <c r="H218" s="3" t="s">
        <v>529</v>
      </c>
      <c r="I218" s="3" t="str">
        <f t="shared" si="10"/>
        <v>9 / 17-04-2013</v>
      </c>
      <c r="J218" s="4">
        <v>41381</v>
      </c>
      <c r="K218" s="6">
        <v>0.79166666666666663</v>
      </c>
      <c r="L218" s="3">
        <v>7</v>
      </c>
      <c r="M218" s="3" t="s">
        <v>50</v>
      </c>
      <c r="N218" s="3" t="s">
        <v>50</v>
      </c>
      <c r="O218" s="5"/>
      <c r="P218" s="3" t="s">
        <v>22</v>
      </c>
      <c r="Q218" s="7"/>
      <c r="R218" s="7"/>
    </row>
    <row r="219" spans="1:18" ht="89.25" x14ac:dyDescent="0.25">
      <c r="A219" s="3" t="s">
        <v>18</v>
      </c>
      <c r="B219" s="3">
        <v>2013</v>
      </c>
      <c r="C219" s="3" t="s">
        <v>19</v>
      </c>
      <c r="D219" s="3" t="str">
        <f>"258 / 2013"</f>
        <v>258 / 2013</v>
      </c>
      <c r="E219" s="4">
        <v>41393</v>
      </c>
      <c r="F219" s="3" t="s">
        <v>530</v>
      </c>
      <c r="G219" s="5"/>
      <c r="H219" s="3" t="s">
        <v>531</v>
      </c>
      <c r="I219" s="3" t="str">
        <f t="shared" si="10"/>
        <v>9 / 17-04-2013</v>
      </c>
      <c r="J219" s="4">
        <v>41381</v>
      </c>
      <c r="K219" s="6">
        <v>0.79166666666666663</v>
      </c>
      <c r="L219" s="3">
        <v>8</v>
      </c>
      <c r="M219" s="3" t="s">
        <v>126</v>
      </c>
      <c r="N219" s="3" t="s">
        <v>126</v>
      </c>
      <c r="O219" s="5"/>
      <c r="P219" s="3" t="s">
        <v>22</v>
      </c>
      <c r="Q219" s="7"/>
      <c r="R219" s="7"/>
    </row>
    <row r="220" spans="1:18" ht="127.5" x14ac:dyDescent="0.25">
      <c r="A220" s="3" t="s">
        <v>18</v>
      </c>
      <c r="B220" s="3">
        <v>2013</v>
      </c>
      <c r="C220" s="3" t="s">
        <v>19</v>
      </c>
      <c r="D220" s="3" t="str">
        <f>"259 / 2013"</f>
        <v>259 / 2013</v>
      </c>
      <c r="E220" s="4">
        <v>41386</v>
      </c>
      <c r="F220" s="3" t="s">
        <v>532</v>
      </c>
      <c r="G220" s="5"/>
      <c r="H220" s="3" t="s">
        <v>533</v>
      </c>
      <c r="I220" s="3" t="str">
        <f t="shared" si="10"/>
        <v>9 / 17-04-2013</v>
      </c>
      <c r="J220" s="4">
        <v>41381</v>
      </c>
      <c r="K220" s="6">
        <v>0.79166666666666663</v>
      </c>
      <c r="L220" s="3">
        <v>9</v>
      </c>
      <c r="M220" s="3" t="s">
        <v>534</v>
      </c>
      <c r="N220" s="3" t="s">
        <v>534</v>
      </c>
      <c r="O220" s="5"/>
      <c r="P220" s="3" t="s">
        <v>22</v>
      </c>
      <c r="Q220" s="7"/>
      <c r="R220" s="7"/>
    </row>
    <row r="221" spans="1:18" ht="63.75" x14ac:dyDescent="0.25">
      <c r="A221" s="3" t="s">
        <v>18</v>
      </c>
      <c r="B221" s="3">
        <v>2013</v>
      </c>
      <c r="C221" s="3" t="s">
        <v>19</v>
      </c>
      <c r="D221" s="3" t="str">
        <f>"26/2013"</f>
        <v>26/2013</v>
      </c>
      <c r="E221" s="4">
        <v>41297</v>
      </c>
      <c r="F221" s="3" t="s">
        <v>535</v>
      </c>
      <c r="G221" s="5"/>
      <c r="H221" s="3" t="s">
        <v>536</v>
      </c>
      <c r="I221" s="3" t="str">
        <f>"3/23-01-2013"</f>
        <v>3/23-01-2013</v>
      </c>
      <c r="J221" s="4">
        <v>41297</v>
      </c>
      <c r="K221" s="6">
        <v>0.8125</v>
      </c>
      <c r="L221" s="3">
        <v>19</v>
      </c>
      <c r="M221" s="3" t="s">
        <v>537</v>
      </c>
      <c r="N221" s="3" t="s">
        <v>537</v>
      </c>
      <c r="O221" s="5"/>
      <c r="P221" s="3" t="s">
        <v>22</v>
      </c>
      <c r="Q221" s="7"/>
      <c r="R221" s="7"/>
    </row>
    <row r="222" spans="1:18" ht="76.5" x14ac:dyDescent="0.25">
      <c r="A222" s="3" t="s">
        <v>18</v>
      </c>
      <c r="B222" s="3">
        <v>2013</v>
      </c>
      <c r="C222" s="3" t="s">
        <v>19</v>
      </c>
      <c r="D222" s="3" t="str">
        <f>"260 / 2013"</f>
        <v>260 / 2013</v>
      </c>
      <c r="E222" s="4">
        <v>41383</v>
      </c>
      <c r="F222" s="3" t="s">
        <v>538</v>
      </c>
      <c r="G222" s="5"/>
      <c r="H222" s="3" t="s">
        <v>539</v>
      </c>
      <c r="I222" s="3" t="str">
        <f t="shared" ref="I222:I231" si="11">"9 / 17-04-2013"</f>
        <v>9 / 17-04-2013</v>
      </c>
      <c r="J222" s="4">
        <v>41381</v>
      </c>
      <c r="K222" s="6">
        <v>0.79166666666666663</v>
      </c>
      <c r="L222" s="3">
        <v>10</v>
      </c>
      <c r="M222" s="3" t="s">
        <v>324</v>
      </c>
      <c r="N222" s="3" t="s">
        <v>324</v>
      </c>
      <c r="O222" s="5"/>
      <c r="P222" s="3" t="s">
        <v>22</v>
      </c>
      <c r="Q222" s="7"/>
      <c r="R222" s="7"/>
    </row>
    <row r="223" spans="1:18" ht="89.25" x14ac:dyDescent="0.25">
      <c r="A223" s="3" t="s">
        <v>18</v>
      </c>
      <c r="B223" s="3">
        <v>2013</v>
      </c>
      <c r="C223" s="3" t="s">
        <v>19</v>
      </c>
      <c r="D223" s="3" t="str">
        <f>"261 / 2013"</f>
        <v>261 / 2013</v>
      </c>
      <c r="E223" s="4">
        <v>41387</v>
      </c>
      <c r="F223" s="3" t="s">
        <v>540</v>
      </c>
      <c r="G223" s="5"/>
      <c r="H223" s="3" t="s">
        <v>541</v>
      </c>
      <c r="I223" s="3" t="str">
        <f t="shared" si="11"/>
        <v>9 / 17-04-2013</v>
      </c>
      <c r="J223" s="4">
        <v>41381</v>
      </c>
      <c r="K223" s="6">
        <v>0.79166666666666663</v>
      </c>
      <c r="L223" s="3">
        <v>11</v>
      </c>
      <c r="M223" s="3" t="s">
        <v>542</v>
      </c>
      <c r="N223" s="3" t="s">
        <v>543</v>
      </c>
      <c r="O223" s="5"/>
      <c r="P223" s="3" t="s">
        <v>22</v>
      </c>
      <c r="Q223" s="7"/>
      <c r="R223" s="7"/>
    </row>
    <row r="224" spans="1:18" ht="89.25" x14ac:dyDescent="0.25">
      <c r="A224" s="3" t="s">
        <v>18</v>
      </c>
      <c r="B224" s="3">
        <v>2013</v>
      </c>
      <c r="C224" s="3" t="s">
        <v>19</v>
      </c>
      <c r="D224" s="3" t="str">
        <f>"262 / 2013"</f>
        <v>262 / 2013</v>
      </c>
      <c r="E224" s="4">
        <v>41418</v>
      </c>
      <c r="F224" s="3" t="s">
        <v>544</v>
      </c>
      <c r="G224" s="5"/>
      <c r="H224" s="3" t="s">
        <v>545</v>
      </c>
      <c r="I224" s="3" t="str">
        <f t="shared" si="11"/>
        <v>9 / 17-04-2013</v>
      </c>
      <c r="J224" s="4">
        <v>41381</v>
      </c>
      <c r="K224" s="6">
        <v>0.79166666666666663</v>
      </c>
      <c r="L224" s="3">
        <v>12</v>
      </c>
      <c r="M224" s="3" t="s">
        <v>546</v>
      </c>
      <c r="N224" s="3" t="s">
        <v>546</v>
      </c>
      <c r="O224" s="5"/>
      <c r="P224" s="3" t="s">
        <v>22</v>
      </c>
      <c r="Q224" s="7"/>
      <c r="R224" s="7"/>
    </row>
    <row r="225" spans="1:18" ht="89.25" x14ac:dyDescent="0.25">
      <c r="A225" s="3" t="s">
        <v>18</v>
      </c>
      <c r="B225" s="3">
        <v>2013</v>
      </c>
      <c r="C225" s="3" t="s">
        <v>19</v>
      </c>
      <c r="D225" s="3" t="str">
        <f>"263 / 2013"</f>
        <v>263 / 2013</v>
      </c>
      <c r="E225" s="4">
        <v>41390</v>
      </c>
      <c r="F225" s="3" t="s">
        <v>547</v>
      </c>
      <c r="G225" s="5"/>
      <c r="H225" s="3" t="s">
        <v>548</v>
      </c>
      <c r="I225" s="3" t="str">
        <f t="shared" si="11"/>
        <v>9 / 17-04-2013</v>
      </c>
      <c r="J225" s="4">
        <v>41381</v>
      </c>
      <c r="K225" s="6">
        <v>0.79166666666666663</v>
      </c>
      <c r="L225" s="3">
        <v>13</v>
      </c>
      <c r="M225" s="3" t="s">
        <v>549</v>
      </c>
      <c r="N225" s="3" t="s">
        <v>549</v>
      </c>
      <c r="O225" s="5"/>
      <c r="P225" s="3" t="s">
        <v>22</v>
      </c>
      <c r="Q225" s="7"/>
      <c r="R225" s="7"/>
    </row>
    <row r="226" spans="1:18" ht="76.5" x14ac:dyDescent="0.25">
      <c r="A226" s="3" t="s">
        <v>18</v>
      </c>
      <c r="B226" s="3">
        <v>2013</v>
      </c>
      <c r="C226" s="3" t="s">
        <v>19</v>
      </c>
      <c r="D226" s="3" t="str">
        <f>"264 / 2013"</f>
        <v>264 / 2013</v>
      </c>
      <c r="E226" s="4">
        <v>41389</v>
      </c>
      <c r="F226" s="3" t="s">
        <v>550</v>
      </c>
      <c r="G226" s="5"/>
      <c r="H226" s="3" t="s">
        <v>551</v>
      </c>
      <c r="I226" s="3" t="str">
        <f t="shared" si="11"/>
        <v>9 / 17-04-2013</v>
      </c>
      <c r="J226" s="4">
        <v>41381</v>
      </c>
      <c r="K226" s="6">
        <v>0.79166666666666663</v>
      </c>
      <c r="L226" s="3">
        <v>14</v>
      </c>
      <c r="M226" s="3" t="s">
        <v>552</v>
      </c>
      <c r="N226" s="3" t="s">
        <v>552</v>
      </c>
      <c r="O226" s="5"/>
      <c r="P226" s="3" t="s">
        <v>22</v>
      </c>
      <c r="Q226" s="7"/>
      <c r="R226" s="7"/>
    </row>
    <row r="227" spans="1:18" ht="89.25" x14ac:dyDescent="0.25">
      <c r="A227" s="3" t="s">
        <v>18</v>
      </c>
      <c r="B227" s="3">
        <v>2013</v>
      </c>
      <c r="C227" s="3" t="s">
        <v>19</v>
      </c>
      <c r="D227" s="3" t="str">
        <f>"265 / 2013"</f>
        <v>265 / 2013</v>
      </c>
      <c r="E227" s="4">
        <v>41410</v>
      </c>
      <c r="F227" s="3" t="s">
        <v>553</v>
      </c>
      <c r="G227" s="5"/>
      <c r="H227" s="3" t="s">
        <v>554</v>
      </c>
      <c r="I227" s="3" t="str">
        <f t="shared" si="11"/>
        <v>9 / 17-04-2013</v>
      </c>
      <c r="J227" s="4">
        <v>41381</v>
      </c>
      <c r="K227" s="6">
        <v>0.79166666666666663</v>
      </c>
      <c r="L227" s="3">
        <v>15</v>
      </c>
      <c r="M227" s="3" t="s">
        <v>555</v>
      </c>
      <c r="N227" s="3" t="s">
        <v>555</v>
      </c>
      <c r="O227" s="5"/>
      <c r="P227" s="3" t="s">
        <v>22</v>
      </c>
      <c r="Q227" s="7"/>
      <c r="R227" s="7"/>
    </row>
    <row r="228" spans="1:18" ht="76.5" x14ac:dyDescent="0.25">
      <c r="A228" s="3" t="s">
        <v>18</v>
      </c>
      <c r="B228" s="3">
        <v>2013</v>
      </c>
      <c r="C228" s="3" t="s">
        <v>19</v>
      </c>
      <c r="D228" s="3" t="str">
        <f>"266 / 2013"</f>
        <v>266 / 2013</v>
      </c>
      <c r="E228" s="4">
        <v>41388</v>
      </c>
      <c r="F228" s="3" t="s">
        <v>556</v>
      </c>
      <c r="G228" s="5"/>
      <c r="H228" s="3" t="s">
        <v>557</v>
      </c>
      <c r="I228" s="3" t="str">
        <f t="shared" si="11"/>
        <v>9 / 17-04-2013</v>
      </c>
      <c r="J228" s="4">
        <v>41381</v>
      </c>
      <c r="K228" s="6">
        <v>0.79166666666666663</v>
      </c>
      <c r="L228" s="3">
        <v>16</v>
      </c>
      <c r="M228" s="3" t="s">
        <v>549</v>
      </c>
      <c r="N228" s="3" t="s">
        <v>549</v>
      </c>
      <c r="O228" s="5"/>
      <c r="P228" s="3" t="s">
        <v>22</v>
      </c>
      <c r="Q228" s="7"/>
      <c r="R228" s="7"/>
    </row>
    <row r="229" spans="1:18" ht="51" x14ac:dyDescent="0.25">
      <c r="A229" s="3" t="s">
        <v>18</v>
      </c>
      <c r="B229" s="3">
        <v>2013</v>
      </c>
      <c r="C229" s="3" t="s">
        <v>19</v>
      </c>
      <c r="D229" s="3" t="str">
        <f>"267 / 2013"</f>
        <v>267 / 2013</v>
      </c>
      <c r="E229" s="4">
        <v>41389</v>
      </c>
      <c r="F229" s="3" t="s">
        <v>558</v>
      </c>
      <c r="G229" s="5"/>
      <c r="H229" s="3" t="s">
        <v>559</v>
      </c>
      <c r="I229" s="3" t="str">
        <f t="shared" si="11"/>
        <v>9 / 17-04-2013</v>
      </c>
      <c r="J229" s="4">
        <v>41381</v>
      </c>
      <c r="K229" s="6">
        <v>0.79166666666666663</v>
      </c>
      <c r="L229" s="3">
        <v>17</v>
      </c>
      <c r="M229" s="3" t="s">
        <v>56</v>
      </c>
      <c r="N229" s="3" t="s">
        <v>56</v>
      </c>
      <c r="O229" s="5"/>
      <c r="P229" s="3" t="s">
        <v>22</v>
      </c>
      <c r="Q229" s="7"/>
      <c r="R229" s="7"/>
    </row>
    <row r="230" spans="1:18" ht="63.75" x14ac:dyDescent="0.25">
      <c r="A230" s="3" t="s">
        <v>18</v>
      </c>
      <c r="B230" s="3">
        <v>2013</v>
      </c>
      <c r="C230" s="3" t="s">
        <v>19</v>
      </c>
      <c r="D230" s="3" t="str">
        <f>"268 / 2013"</f>
        <v>268 / 2013</v>
      </c>
      <c r="E230" s="4">
        <v>41389</v>
      </c>
      <c r="F230" s="3" t="s">
        <v>560</v>
      </c>
      <c r="G230" s="5"/>
      <c r="H230" s="3" t="s">
        <v>561</v>
      </c>
      <c r="I230" s="3" t="str">
        <f t="shared" si="11"/>
        <v>9 / 17-04-2013</v>
      </c>
      <c r="J230" s="4">
        <v>41381</v>
      </c>
      <c r="K230" s="6">
        <v>0.79166666666666663</v>
      </c>
      <c r="L230" s="3">
        <v>17</v>
      </c>
      <c r="M230" s="3" t="s">
        <v>56</v>
      </c>
      <c r="N230" s="3" t="s">
        <v>56</v>
      </c>
      <c r="O230" s="5"/>
      <c r="P230" s="3" t="s">
        <v>22</v>
      </c>
      <c r="Q230" s="7"/>
      <c r="R230" s="7"/>
    </row>
    <row r="231" spans="1:18" ht="51" x14ac:dyDescent="0.25">
      <c r="A231" s="3" t="s">
        <v>18</v>
      </c>
      <c r="B231" s="3">
        <v>2013</v>
      </c>
      <c r="C231" s="3" t="s">
        <v>19</v>
      </c>
      <c r="D231" s="3" t="str">
        <f>"269 / 2013"</f>
        <v>269 / 2013</v>
      </c>
      <c r="E231" s="4">
        <v>41390</v>
      </c>
      <c r="F231" s="3" t="s">
        <v>562</v>
      </c>
      <c r="G231" s="5"/>
      <c r="H231" s="3" t="s">
        <v>563</v>
      </c>
      <c r="I231" s="3" t="str">
        <f t="shared" si="11"/>
        <v>9 / 17-04-2013</v>
      </c>
      <c r="J231" s="4">
        <v>41381</v>
      </c>
      <c r="K231" s="6">
        <v>0.79166666666666663</v>
      </c>
      <c r="L231" s="3">
        <v>17</v>
      </c>
      <c r="M231" s="3" t="s">
        <v>56</v>
      </c>
      <c r="N231" s="3" t="s">
        <v>56</v>
      </c>
      <c r="O231" s="5"/>
      <c r="P231" s="3" t="s">
        <v>22</v>
      </c>
      <c r="Q231" s="7"/>
      <c r="R231" s="7"/>
    </row>
    <row r="232" spans="1:18" ht="63.75" x14ac:dyDescent="0.25">
      <c r="A232" s="3" t="s">
        <v>18</v>
      </c>
      <c r="B232" s="3">
        <v>2013</v>
      </c>
      <c r="C232" s="3" t="s">
        <v>19</v>
      </c>
      <c r="D232" s="3" t="str">
        <f>"27/2013"</f>
        <v>27/2013</v>
      </c>
      <c r="E232" s="4">
        <v>41297</v>
      </c>
      <c r="F232" s="3" t="s">
        <v>564</v>
      </c>
      <c r="G232" s="5"/>
      <c r="H232" s="3" t="s">
        <v>565</v>
      </c>
      <c r="I232" s="3" t="str">
        <f>"3/23-01-2013"</f>
        <v>3/23-01-2013</v>
      </c>
      <c r="J232" s="4">
        <v>41297</v>
      </c>
      <c r="K232" s="6">
        <v>0.8125</v>
      </c>
      <c r="L232" s="3">
        <v>22</v>
      </c>
      <c r="M232" s="3" t="s">
        <v>62</v>
      </c>
      <c r="N232" s="3" t="s">
        <v>62</v>
      </c>
      <c r="O232" s="5"/>
      <c r="P232" s="3" t="s">
        <v>22</v>
      </c>
      <c r="Q232" s="7"/>
      <c r="R232" s="7"/>
    </row>
    <row r="233" spans="1:18" ht="51" x14ac:dyDescent="0.25">
      <c r="A233" s="3" t="s">
        <v>18</v>
      </c>
      <c r="B233" s="3">
        <v>2013</v>
      </c>
      <c r="C233" s="3" t="s">
        <v>19</v>
      </c>
      <c r="D233" s="3" t="str">
        <f>"270 / 2013"</f>
        <v>270 / 2013</v>
      </c>
      <c r="E233" s="4">
        <v>41387</v>
      </c>
      <c r="F233" s="3" t="s">
        <v>566</v>
      </c>
      <c r="G233" s="5"/>
      <c r="H233" s="3" t="s">
        <v>567</v>
      </c>
      <c r="I233" s="3" t="str">
        <f t="shared" ref="I233:I242" si="12">"9 / 17-04-2013"</f>
        <v>9 / 17-04-2013</v>
      </c>
      <c r="J233" s="4">
        <v>41381</v>
      </c>
      <c r="K233" s="6">
        <v>0.79166666666666663</v>
      </c>
      <c r="L233" s="3">
        <v>17</v>
      </c>
      <c r="M233" s="3" t="s">
        <v>56</v>
      </c>
      <c r="N233" s="3" t="s">
        <v>56</v>
      </c>
      <c r="O233" s="5"/>
      <c r="P233" s="3" t="s">
        <v>22</v>
      </c>
      <c r="Q233" s="7"/>
      <c r="R233" s="7"/>
    </row>
    <row r="234" spans="1:18" ht="51" x14ac:dyDescent="0.25">
      <c r="A234" s="3" t="s">
        <v>18</v>
      </c>
      <c r="B234" s="3">
        <v>2013</v>
      </c>
      <c r="C234" s="3" t="s">
        <v>19</v>
      </c>
      <c r="D234" s="3" t="str">
        <f>"271 / 2013"</f>
        <v>271 / 2013</v>
      </c>
      <c r="E234" s="4">
        <v>41389</v>
      </c>
      <c r="F234" s="3" t="s">
        <v>568</v>
      </c>
      <c r="G234" s="5"/>
      <c r="H234" s="3" t="s">
        <v>569</v>
      </c>
      <c r="I234" s="3" t="str">
        <f t="shared" si="12"/>
        <v>9 / 17-04-2013</v>
      </c>
      <c r="J234" s="4">
        <v>41381</v>
      </c>
      <c r="K234" s="6">
        <v>0.79166666666666663</v>
      </c>
      <c r="L234" s="3">
        <v>17</v>
      </c>
      <c r="M234" s="3" t="s">
        <v>56</v>
      </c>
      <c r="N234" s="3" t="s">
        <v>56</v>
      </c>
      <c r="O234" s="5"/>
      <c r="P234" s="3" t="s">
        <v>22</v>
      </c>
      <c r="Q234" s="7"/>
      <c r="R234" s="7"/>
    </row>
    <row r="235" spans="1:18" ht="89.25" x14ac:dyDescent="0.25">
      <c r="A235" s="3" t="s">
        <v>18</v>
      </c>
      <c r="B235" s="3">
        <v>2013</v>
      </c>
      <c r="C235" s="3" t="s">
        <v>19</v>
      </c>
      <c r="D235" s="3" t="str">
        <f>"272 / 2013"</f>
        <v>272 / 2013</v>
      </c>
      <c r="E235" s="4">
        <v>41414</v>
      </c>
      <c r="F235" s="3" t="s">
        <v>570</v>
      </c>
      <c r="G235" s="5"/>
      <c r="H235" s="3" t="s">
        <v>571</v>
      </c>
      <c r="I235" s="3" t="str">
        <f t="shared" si="12"/>
        <v>9 / 17-04-2013</v>
      </c>
      <c r="J235" s="4">
        <v>41381</v>
      </c>
      <c r="K235" s="6">
        <v>0.79166666666666663</v>
      </c>
      <c r="L235" s="3">
        <v>18</v>
      </c>
      <c r="M235" s="3" t="s">
        <v>572</v>
      </c>
      <c r="N235" s="3" t="s">
        <v>572</v>
      </c>
      <c r="O235" s="5"/>
      <c r="P235" s="3" t="s">
        <v>22</v>
      </c>
      <c r="Q235" s="7"/>
      <c r="R235" s="7"/>
    </row>
    <row r="236" spans="1:18" ht="114.75" x14ac:dyDescent="0.25">
      <c r="A236" s="3" t="s">
        <v>18</v>
      </c>
      <c r="B236" s="3">
        <v>2013</v>
      </c>
      <c r="C236" s="3" t="s">
        <v>19</v>
      </c>
      <c r="D236" s="3" t="str">
        <f>"273 / 2013"</f>
        <v>273 / 2013</v>
      </c>
      <c r="E236" s="4">
        <v>41415</v>
      </c>
      <c r="F236" s="3" t="s">
        <v>573</v>
      </c>
      <c r="G236" s="5"/>
      <c r="H236" s="3" t="s">
        <v>574</v>
      </c>
      <c r="I236" s="3" t="str">
        <f t="shared" si="12"/>
        <v>9 / 17-04-2013</v>
      </c>
      <c r="J236" s="4">
        <v>41381</v>
      </c>
      <c r="K236" s="6">
        <v>0.79166666666666663</v>
      </c>
      <c r="L236" s="3">
        <v>19</v>
      </c>
      <c r="M236" s="3" t="s">
        <v>411</v>
      </c>
      <c r="N236" s="3" t="s">
        <v>411</v>
      </c>
      <c r="O236" s="5"/>
      <c r="P236" s="3" t="s">
        <v>22</v>
      </c>
      <c r="Q236" s="7"/>
      <c r="R236" s="7"/>
    </row>
    <row r="237" spans="1:18" ht="102" x14ac:dyDescent="0.25">
      <c r="A237" s="3" t="s">
        <v>18</v>
      </c>
      <c r="B237" s="3">
        <v>2013</v>
      </c>
      <c r="C237" s="3" t="s">
        <v>19</v>
      </c>
      <c r="D237" s="3" t="str">
        <f>"274 / 2013"</f>
        <v>274 / 2013</v>
      </c>
      <c r="E237" s="4">
        <v>41390</v>
      </c>
      <c r="F237" s="3" t="s">
        <v>575</v>
      </c>
      <c r="G237" s="5"/>
      <c r="H237" s="3" t="s">
        <v>576</v>
      </c>
      <c r="I237" s="3" t="str">
        <f t="shared" si="12"/>
        <v>9 / 17-04-2013</v>
      </c>
      <c r="J237" s="4">
        <v>41381</v>
      </c>
      <c r="K237" s="6">
        <v>0.79166666666666663</v>
      </c>
      <c r="L237" s="3">
        <v>20</v>
      </c>
      <c r="M237" s="3" t="s">
        <v>56</v>
      </c>
      <c r="N237" s="3" t="s">
        <v>56</v>
      </c>
      <c r="O237" s="5"/>
      <c r="P237" s="3" t="s">
        <v>22</v>
      </c>
      <c r="Q237" s="7"/>
      <c r="R237" s="7"/>
    </row>
    <row r="238" spans="1:18" ht="51" x14ac:dyDescent="0.25">
      <c r="A238" s="3" t="s">
        <v>18</v>
      </c>
      <c r="B238" s="3">
        <v>2013</v>
      </c>
      <c r="C238" s="3" t="s">
        <v>19</v>
      </c>
      <c r="D238" s="3" t="str">
        <f>"275 / 2013"</f>
        <v>275 / 2013</v>
      </c>
      <c r="E238" s="4">
        <v>41390</v>
      </c>
      <c r="F238" s="3" t="s">
        <v>577</v>
      </c>
      <c r="G238" s="5"/>
      <c r="H238" s="3" t="s">
        <v>578</v>
      </c>
      <c r="I238" s="3" t="str">
        <f t="shared" si="12"/>
        <v>9 / 17-04-2013</v>
      </c>
      <c r="J238" s="4">
        <v>41381</v>
      </c>
      <c r="K238" s="6">
        <v>0.79166666666666663</v>
      </c>
      <c r="L238" s="3">
        <v>20</v>
      </c>
      <c r="M238" s="3" t="s">
        <v>56</v>
      </c>
      <c r="N238" s="3" t="s">
        <v>56</v>
      </c>
      <c r="O238" s="5"/>
      <c r="P238" s="3" t="s">
        <v>22</v>
      </c>
      <c r="Q238" s="7"/>
      <c r="R238" s="7"/>
    </row>
    <row r="239" spans="1:18" ht="38.25" x14ac:dyDescent="0.25">
      <c r="A239" s="3" t="s">
        <v>18</v>
      </c>
      <c r="B239" s="3">
        <v>2013</v>
      </c>
      <c r="C239" s="3" t="s">
        <v>19</v>
      </c>
      <c r="D239" s="3" t="str">
        <f>"276 / 2013"</f>
        <v>276 / 2013</v>
      </c>
      <c r="E239" s="4">
        <v>41394</v>
      </c>
      <c r="F239" s="3" t="s">
        <v>579</v>
      </c>
      <c r="G239" s="5"/>
      <c r="H239" s="3" t="s">
        <v>580</v>
      </c>
      <c r="I239" s="3" t="str">
        <f t="shared" si="12"/>
        <v>9 / 17-04-2013</v>
      </c>
      <c r="J239" s="4">
        <v>41381</v>
      </c>
      <c r="K239" s="6">
        <v>0.79166666666666663</v>
      </c>
      <c r="L239" s="3">
        <v>20</v>
      </c>
      <c r="M239" s="3" t="s">
        <v>56</v>
      </c>
      <c r="N239" s="3" t="s">
        <v>56</v>
      </c>
      <c r="O239" s="5"/>
      <c r="P239" s="3" t="s">
        <v>22</v>
      </c>
      <c r="Q239" s="7"/>
      <c r="R239" s="7"/>
    </row>
    <row r="240" spans="1:18" ht="51" x14ac:dyDescent="0.25">
      <c r="A240" s="3" t="s">
        <v>18</v>
      </c>
      <c r="B240" s="3">
        <v>2013</v>
      </c>
      <c r="C240" s="3" t="s">
        <v>19</v>
      </c>
      <c r="D240" s="3" t="str">
        <f>"277 / 2013"</f>
        <v>277 / 2013</v>
      </c>
      <c r="E240" s="4">
        <v>41388</v>
      </c>
      <c r="F240" s="3" t="s">
        <v>581</v>
      </c>
      <c r="G240" s="5"/>
      <c r="H240" s="3" t="s">
        <v>582</v>
      </c>
      <c r="I240" s="3" t="str">
        <f t="shared" si="12"/>
        <v>9 / 17-04-2013</v>
      </c>
      <c r="J240" s="4">
        <v>41381</v>
      </c>
      <c r="K240" s="6">
        <v>0.79166666666666663</v>
      </c>
      <c r="L240" s="3">
        <v>20</v>
      </c>
      <c r="M240" s="3" t="s">
        <v>56</v>
      </c>
      <c r="N240" s="3" t="s">
        <v>56</v>
      </c>
      <c r="O240" s="5"/>
      <c r="P240" s="3" t="s">
        <v>22</v>
      </c>
      <c r="Q240" s="7"/>
      <c r="R240" s="7"/>
    </row>
    <row r="241" spans="1:18" ht="63.75" x14ac:dyDescent="0.25">
      <c r="A241" s="3" t="s">
        <v>18</v>
      </c>
      <c r="B241" s="3">
        <v>2013</v>
      </c>
      <c r="C241" s="3" t="s">
        <v>19</v>
      </c>
      <c r="D241" s="3" t="str">
        <f>"278 / 2013"</f>
        <v>278 / 2013</v>
      </c>
      <c r="E241" s="4">
        <v>41386</v>
      </c>
      <c r="F241" s="3" t="s">
        <v>583</v>
      </c>
      <c r="G241" s="5"/>
      <c r="H241" s="3" t="s">
        <v>584</v>
      </c>
      <c r="I241" s="3" t="str">
        <f t="shared" si="12"/>
        <v>9 / 17-04-2013</v>
      </c>
      <c r="J241" s="4">
        <v>41381</v>
      </c>
      <c r="K241" s="6">
        <v>0.79166666666666663</v>
      </c>
      <c r="L241" s="3">
        <v>21</v>
      </c>
      <c r="M241" s="3" t="s">
        <v>585</v>
      </c>
      <c r="N241" s="3" t="s">
        <v>585</v>
      </c>
      <c r="O241" s="5"/>
      <c r="P241" s="3" t="s">
        <v>22</v>
      </c>
      <c r="Q241" s="7"/>
      <c r="R241" s="7"/>
    </row>
    <row r="242" spans="1:18" ht="51" x14ac:dyDescent="0.25">
      <c r="A242" s="3" t="s">
        <v>18</v>
      </c>
      <c r="B242" s="3">
        <v>2013</v>
      </c>
      <c r="C242" s="3" t="s">
        <v>19</v>
      </c>
      <c r="D242" s="3" t="str">
        <f>"279 / 2013"</f>
        <v>279 / 2013</v>
      </c>
      <c r="E242" s="4">
        <v>41386</v>
      </c>
      <c r="F242" s="3" t="s">
        <v>586</v>
      </c>
      <c r="G242" s="5"/>
      <c r="H242" s="3" t="s">
        <v>587</v>
      </c>
      <c r="I242" s="3" t="str">
        <f t="shared" si="12"/>
        <v>9 / 17-04-2013</v>
      </c>
      <c r="J242" s="4">
        <v>41381</v>
      </c>
      <c r="K242" s="6">
        <v>0.79166666666666663</v>
      </c>
      <c r="L242" s="3">
        <v>21</v>
      </c>
      <c r="M242" s="3" t="s">
        <v>56</v>
      </c>
      <c r="N242" s="3" t="s">
        <v>56</v>
      </c>
      <c r="O242" s="5"/>
      <c r="P242" s="3" t="s">
        <v>22</v>
      </c>
      <c r="Q242" s="7"/>
      <c r="R242" s="7"/>
    </row>
    <row r="243" spans="1:18" ht="51" x14ac:dyDescent="0.25">
      <c r="A243" s="3" t="s">
        <v>18</v>
      </c>
      <c r="B243" s="3">
        <v>2013</v>
      </c>
      <c r="C243" s="3" t="s">
        <v>19</v>
      </c>
      <c r="D243" s="3" t="str">
        <f>"28/2013"</f>
        <v>28/2013</v>
      </c>
      <c r="E243" s="4">
        <v>41297</v>
      </c>
      <c r="F243" s="3" t="s">
        <v>588</v>
      </c>
      <c r="G243" s="5"/>
      <c r="H243" s="3" t="s">
        <v>589</v>
      </c>
      <c r="I243" s="3" t="str">
        <f>"3/23-01-2013"</f>
        <v>3/23-01-2013</v>
      </c>
      <c r="J243" s="4">
        <v>41297</v>
      </c>
      <c r="K243" s="6">
        <v>0.8125</v>
      </c>
      <c r="L243" s="3">
        <v>22</v>
      </c>
      <c r="M243" s="3" t="s">
        <v>62</v>
      </c>
      <c r="N243" s="3" t="s">
        <v>62</v>
      </c>
      <c r="O243" s="5"/>
      <c r="P243" s="3" t="s">
        <v>22</v>
      </c>
      <c r="Q243" s="7"/>
      <c r="R243" s="7"/>
    </row>
    <row r="244" spans="1:18" ht="63.75" x14ac:dyDescent="0.25">
      <c r="A244" s="3" t="s">
        <v>18</v>
      </c>
      <c r="B244" s="3">
        <v>2013</v>
      </c>
      <c r="C244" s="3" t="s">
        <v>19</v>
      </c>
      <c r="D244" s="3" t="str">
        <f>"280 / 2013"</f>
        <v>280 / 2013</v>
      </c>
      <c r="E244" s="4">
        <v>41386</v>
      </c>
      <c r="F244" s="3" t="s">
        <v>590</v>
      </c>
      <c r="G244" s="5"/>
      <c r="H244" s="3" t="s">
        <v>591</v>
      </c>
      <c r="I244" s="3" t="str">
        <f t="shared" ref="I244:I252" si="13">"9 / 17-04-2013"</f>
        <v>9 / 17-04-2013</v>
      </c>
      <c r="J244" s="4">
        <v>41381</v>
      </c>
      <c r="K244" s="6">
        <v>0.79166666666666663</v>
      </c>
      <c r="L244" s="3">
        <v>21</v>
      </c>
      <c r="M244" s="3" t="s">
        <v>56</v>
      </c>
      <c r="N244" s="3" t="s">
        <v>56</v>
      </c>
      <c r="O244" s="5"/>
      <c r="P244" s="3" t="s">
        <v>22</v>
      </c>
      <c r="Q244" s="7"/>
      <c r="R244" s="7"/>
    </row>
    <row r="245" spans="1:18" ht="51" x14ac:dyDescent="0.25">
      <c r="A245" s="3" t="s">
        <v>18</v>
      </c>
      <c r="B245" s="3">
        <v>2013</v>
      </c>
      <c r="C245" s="3" t="s">
        <v>19</v>
      </c>
      <c r="D245" s="3" t="str">
        <f>"281 / 2013"</f>
        <v>281 / 2013</v>
      </c>
      <c r="E245" s="4">
        <v>41386</v>
      </c>
      <c r="F245" s="3" t="s">
        <v>592</v>
      </c>
      <c r="G245" s="5"/>
      <c r="H245" s="3" t="s">
        <v>593</v>
      </c>
      <c r="I245" s="3" t="str">
        <f t="shared" si="13"/>
        <v>9 / 17-04-2013</v>
      </c>
      <c r="J245" s="4">
        <v>41381</v>
      </c>
      <c r="K245" s="6">
        <v>0.79166666666666663</v>
      </c>
      <c r="L245" s="3">
        <v>21</v>
      </c>
      <c r="M245" s="3" t="s">
        <v>56</v>
      </c>
      <c r="N245" s="3" t="s">
        <v>56</v>
      </c>
      <c r="O245" s="5"/>
      <c r="P245" s="3" t="s">
        <v>22</v>
      </c>
      <c r="Q245" s="7"/>
      <c r="R245" s="7"/>
    </row>
    <row r="246" spans="1:18" ht="51" x14ac:dyDescent="0.25">
      <c r="A246" s="3" t="s">
        <v>18</v>
      </c>
      <c r="B246" s="3">
        <v>2013</v>
      </c>
      <c r="C246" s="3" t="s">
        <v>19</v>
      </c>
      <c r="D246" s="3" t="str">
        <f>"283 / 2013"</f>
        <v>283 / 2013</v>
      </c>
      <c r="E246" s="4">
        <v>41386</v>
      </c>
      <c r="F246" s="3" t="s">
        <v>594</v>
      </c>
      <c r="G246" s="5"/>
      <c r="H246" s="3" t="s">
        <v>595</v>
      </c>
      <c r="I246" s="3" t="str">
        <f t="shared" si="13"/>
        <v>9 / 17-04-2013</v>
      </c>
      <c r="J246" s="4">
        <v>41381</v>
      </c>
      <c r="K246" s="6">
        <v>0.79166666666666663</v>
      </c>
      <c r="L246" s="3">
        <v>22</v>
      </c>
      <c r="M246" s="3" t="s">
        <v>56</v>
      </c>
      <c r="N246" s="3" t="s">
        <v>56</v>
      </c>
      <c r="O246" s="5"/>
      <c r="P246" s="3" t="s">
        <v>22</v>
      </c>
      <c r="Q246" s="7"/>
      <c r="R246" s="7"/>
    </row>
    <row r="247" spans="1:18" ht="51" x14ac:dyDescent="0.25">
      <c r="A247" s="3" t="s">
        <v>18</v>
      </c>
      <c r="B247" s="3">
        <v>2013</v>
      </c>
      <c r="C247" s="3" t="s">
        <v>19</v>
      </c>
      <c r="D247" s="3" t="str">
        <f>"284 / 2013"</f>
        <v>284 / 2013</v>
      </c>
      <c r="E247" s="4">
        <v>41386</v>
      </c>
      <c r="F247" s="3" t="s">
        <v>596</v>
      </c>
      <c r="G247" s="5"/>
      <c r="H247" s="3" t="s">
        <v>597</v>
      </c>
      <c r="I247" s="3" t="str">
        <f t="shared" si="13"/>
        <v>9 / 17-04-2013</v>
      </c>
      <c r="J247" s="4">
        <v>41381</v>
      </c>
      <c r="K247" s="6">
        <v>0.79166666666666663</v>
      </c>
      <c r="L247" s="3">
        <v>23</v>
      </c>
      <c r="M247" s="3" t="s">
        <v>56</v>
      </c>
      <c r="N247" s="3" t="s">
        <v>56</v>
      </c>
      <c r="O247" s="5"/>
      <c r="P247" s="3" t="s">
        <v>22</v>
      </c>
      <c r="Q247" s="7"/>
      <c r="R247" s="7"/>
    </row>
    <row r="248" spans="1:18" ht="38.25" x14ac:dyDescent="0.25">
      <c r="A248" s="3" t="s">
        <v>18</v>
      </c>
      <c r="B248" s="3">
        <v>2013</v>
      </c>
      <c r="C248" s="3" t="s">
        <v>19</v>
      </c>
      <c r="D248" s="3" t="str">
        <f>"285 / 2013"</f>
        <v>285 / 2013</v>
      </c>
      <c r="E248" s="4">
        <v>41404</v>
      </c>
      <c r="F248" s="3" t="s">
        <v>598</v>
      </c>
      <c r="G248" s="5"/>
      <c r="H248" s="3" t="s">
        <v>599</v>
      </c>
      <c r="I248" s="3" t="str">
        <f t="shared" si="13"/>
        <v>9 / 17-04-2013</v>
      </c>
      <c r="J248" s="4">
        <v>41381</v>
      </c>
      <c r="K248" s="6">
        <v>0.79166666666666663</v>
      </c>
      <c r="L248" s="3">
        <v>24</v>
      </c>
      <c r="M248" s="3" t="s">
        <v>56</v>
      </c>
      <c r="N248" s="3" t="s">
        <v>56</v>
      </c>
      <c r="O248" s="5"/>
      <c r="P248" s="3" t="s">
        <v>22</v>
      </c>
      <c r="Q248" s="7"/>
      <c r="R248" s="7"/>
    </row>
    <row r="249" spans="1:18" ht="51" x14ac:dyDescent="0.25">
      <c r="A249" s="3" t="s">
        <v>18</v>
      </c>
      <c r="B249" s="3">
        <v>2013</v>
      </c>
      <c r="C249" s="3" t="s">
        <v>19</v>
      </c>
      <c r="D249" s="3" t="str">
        <f>"286 / 2013"</f>
        <v>286 / 2013</v>
      </c>
      <c r="E249" s="4">
        <v>41404</v>
      </c>
      <c r="F249" s="3" t="s">
        <v>600</v>
      </c>
      <c r="G249" s="5"/>
      <c r="H249" s="3" t="s">
        <v>601</v>
      </c>
      <c r="I249" s="3" t="str">
        <f t="shared" si="13"/>
        <v>9 / 17-04-2013</v>
      </c>
      <c r="J249" s="4">
        <v>41381</v>
      </c>
      <c r="K249" s="6">
        <v>0.79166666666666663</v>
      </c>
      <c r="L249" s="3">
        <v>24</v>
      </c>
      <c r="M249" s="3" t="s">
        <v>56</v>
      </c>
      <c r="N249" s="3" t="s">
        <v>56</v>
      </c>
      <c r="O249" s="5"/>
      <c r="P249" s="3" t="s">
        <v>22</v>
      </c>
      <c r="Q249" s="7"/>
      <c r="R249" s="7"/>
    </row>
    <row r="250" spans="1:18" ht="76.5" x14ac:dyDescent="0.25">
      <c r="A250" s="3" t="s">
        <v>18</v>
      </c>
      <c r="B250" s="3">
        <v>2013</v>
      </c>
      <c r="C250" s="3" t="s">
        <v>19</v>
      </c>
      <c r="D250" s="3" t="str">
        <f>"287 / 2013"</f>
        <v>287 / 2013</v>
      </c>
      <c r="E250" s="4">
        <v>41383</v>
      </c>
      <c r="F250" s="3" t="s">
        <v>602</v>
      </c>
      <c r="G250" s="5"/>
      <c r="H250" s="3" t="s">
        <v>603</v>
      </c>
      <c r="I250" s="3" t="str">
        <f t="shared" si="13"/>
        <v>9 / 17-04-2013</v>
      </c>
      <c r="J250" s="4">
        <v>41381</v>
      </c>
      <c r="K250" s="6">
        <v>0.79166666666666663</v>
      </c>
      <c r="L250" s="3">
        <v>25</v>
      </c>
      <c r="M250" s="3" t="s">
        <v>352</v>
      </c>
      <c r="N250" s="3" t="s">
        <v>352</v>
      </c>
      <c r="O250" s="5"/>
      <c r="P250" s="3" t="s">
        <v>22</v>
      </c>
      <c r="Q250" s="7"/>
      <c r="R250" s="7"/>
    </row>
    <row r="251" spans="1:18" ht="76.5" x14ac:dyDescent="0.25">
      <c r="A251" s="3" t="s">
        <v>18</v>
      </c>
      <c r="B251" s="3">
        <v>2013</v>
      </c>
      <c r="C251" s="3" t="s">
        <v>19</v>
      </c>
      <c r="D251" s="3" t="str">
        <f>"288 / 2013"</f>
        <v>288 / 2013</v>
      </c>
      <c r="E251" s="4">
        <v>41382</v>
      </c>
      <c r="F251" s="3" t="s">
        <v>604</v>
      </c>
      <c r="G251" s="5"/>
      <c r="H251" s="3" t="s">
        <v>605</v>
      </c>
      <c r="I251" s="3" t="str">
        <f t="shared" si="13"/>
        <v>9 / 17-04-2013</v>
      </c>
      <c r="J251" s="4">
        <v>41381</v>
      </c>
      <c r="K251" s="6">
        <v>0.79166666666666663</v>
      </c>
      <c r="L251" s="3">
        <v>26</v>
      </c>
      <c r="M251" s="3" t="s">
        <v>355</v>
      </c>
      <c r="N251" s="3" t="s">
        <v>355</v>
      </c>
      <c r="O251" s="5"/>
      <c r="P251" s="3" t="s">
        <v>22</v>
      </c>
      <c r="Q251" s="7"/>
      <c r="R251" s="7"/>
    </row>
    <row r="252" spans="1:18" ht="51" x14ac:dyDescent="0.25">
      <c r="A252" s="3" t="s">
        <v>18</v>
      </c>
      <c r="B252" s="3">
        <v>2013</v>
      </c>
      <c r="C252" s="3" t="s">
        <v>19</v>
      </c>
      <c r="D252" s="3" t="str">
        <f>"289 / 2013"</f>
        <v>289 / 2013</v>
      </c>
      <c r="E252" s="4">
        <v>41382</v>
      </c>
      <c r="F252" s="3" t="s">
        <v>606</v>
      </c>
      <c r="G252" s="5"/>
      <c r="H252" s="3" t="s">
        <v>607</v>
      </c>
      <c r="I252" s="3" t="str">
        <f t="shared" si="13"/>
        <v>9 / 17-04-2013</v>
      </c>
      <c r="J252" s="4">
        <v>41381</v>
      </c>
      <c r="K252" s="6">
        <v>0.79166666666666663</v>
      </c>
      <c r="L252" s="3">
        <v>26</v>
      </c>
      <c r="M252" s="3" t="s">
        <v>355</v>
      </c>
      <c r="N252" s="3" t="s">
        <v>355</v>
      </c>
      <c r="O252" s="5"/>
      <c r="P252" s="3" t="s">
        <v>22</v>
      </c>
      <c r="Q252" s="7"/>
      <c r="R252" s="7"/>
    </row>
    <row r="253" spans="1:18" ht="51" x14ac:dyDescent="0.25">
      <c r="A253" s="3" t="s">
        <v>18</v>
      </c>
      <c r="B253" s="3">
        <v>2013</v>
      </c>
      <c r="C253" s="3" t="s">
        <v>19</v>
      </c>
      <c r="D253" s="3" t="str">
        <f>"29/2013"</f>
        <v>29/2013</v>
      </c>
      <c r="E253" s="4">
        <v>41297</v>
      </c>
      <c r="F253" s="3" t="s">
        <v>608</v>
      </c>
      <c r="G253" s="5"/>
      <c r="H253" s="3" t="s">
        <v>609</v>
      </c>
      <c r="I253" s="3" t="str">
        <f>"3/23-01-2013"</f>
        <v>3/23-01-2013</v>
      </c>
      <c r="J253" s="4">
        <v>41297</v>
      </c>
      <c r="K253" s="6">
        <v>0.8125</v>
      </c>
      <c r="L253" s="3">
        <v>22</v>
      </c>
      <c r="M253" s="3" t="s">
        <v>62</v>
      </c>
      <c r="N253" s="3" t="s">
        <v>62</v>
      </c>
      <c r="O253" s="5"/>
      <c r="P253" s="3" t="s">
        <v>22</v>
      </c>
      <c r="Q253" s="7"/>
      <c r="R253" s="7"/>
    </row>
    <row r="254" spans="1:18" ht="63.75" x14ac:dyDescent="0.25">
      <c r="A254" s="3" t="s">
        <v>18</v>
      </c>
      <c r="B254" s="3">
        <v>2013</v>
      </c>
      <c r="C254" s="3" t="s">
        <v>19</v>
      </c>
      <c r="D254" s="3" t="str">
        <f>"290 / 2013"</f>
        <v>290 / 2013</v>
      </c>
      <c r="E254" s="4">
        <v>41382</v>
      </c>
      <c r="F254" s="3" t="s">
        <v>610</v>
      </c>
      <c r="G254" s="5"/>
      <c r="H254" s="3" t="s">
        <v>611</v>
      </c>
      <c r="I254" s="3" t="str">
        <f t="shared" ref="I254:I262" si="14">"9 / 17-04-2013"</f>
        <v>9 / 17-04-2013</v>
      </c>
      <c r="J254" s="4">
        <v>41381</v>
      </c>
      <c r="K254" s="6">
        <v>0.79166666666666663</v>
      </c>
      <c r="L254" s="3">
        <v>26</v>
      </c>
      <c r="M254" s="3" t="s">
        <v>355</v>
      </c>
      <c r="N254" s="3" t="s">
        <v>355</v>
      </c>
      <c r="O254" s="5"/>
      <c r="P254" s="3" t="s">
        <v>22</v>
      </c>
      <c r="Q254" s="7"/>
      <c r="R254" s="7"/>
    </row>
    <row r="255" spans="1:18" ht="63.75" x14ac:dyDescent="0.25">
      <c r="A255" s="3" t="s">
        <v>18</v>
      </c>
      <c r="B255" s="3">
        <v>2013</v>
      </c>
      <c r="C255" s="3" t="s">
        <v>19</v>
      </c>
      <c r="D255" s="3" t="str">
        <f>"291 / 2013"</f>
        <v>291 / 2013</v>
      </c>
      <c r="E255" s="4">
        <v>41382</v>
      </c>
      <c r="F255" s="3" t="s">
        <v>612</v>
      </c>
      <c r="G255" s="5"/>
      <c r="H255" s="3" t="s">
        <v>613</v>
      </c>
      <c r="I255" s="3" t="str">
        <f t="shared" si="14"/>
        <v>9 / 17-04-2013</v>
      </c>
      <c r="J255" s="4">
        <v>41381</v>
      </c>
      <c r="K255" s="6">
        <v>0.79166666666666663</v>
      </c>
      <c r="L255" s="3">
        <v>26</v>
      </c>
      <c r="M255" s="3" t="s">
        <v>355</v>
      </c>
      <c r="N255" s="3" t="s">
        <v>355</v>
      </c>
      <c r="O255" s="5"/>
      <c r="P255" s="3" t="s">
        <v>22</v>
      </c>
      <c r="Q255" s="7"/>
      <c r="R255" s="7"/>
    </row>
    <row r="256" spans="1:18" ht="51" x14ac:dyDescent="0.25">
      <c r="A256" s="3" t="s">
        <v>18</v>
      </c>
      <c r="B256" s="3">
        <v>2013</v>
      </c>
      <c r="C256" s="3" t="s">
        <v>19</v>
      </c>
      <c r="D256" s="3" t="str">
        <f>"292 / 2013"</f>
        <v>292 / 2013</v>
      </c>
      <c r="E256" s="4">
        <v>41382</v>
      </c>
      <c r="F256" s="3" t="s">
        <v>614</v>
      </c>
      <c r="G256" s="5"/>
      <c r="H256" s="3" t="s">
        <v>615</v>
      </c>
      <c r="I256" s="3" t="str">
        <f t="shared" si="14"/>
        <v>9 / 17-04-2013</v>
      </c>
      <c r="J256" s="4">
        <v>41381</v>
      </c>
      <c r="K256" s="6">
        <v>0.79166666666666663</v>
      </c>
      <c r="L256" s="3">
        <v>26</v>
      </c>
      <c r="M256" s="3" t="s">
        <v>355</v>
      </c>
      <c r="N256" s="3" t="s">
        <v>355</v>
      </c>
      <c r="O256" s="5"/>
      <c r="P256" s="3" t="s">
        <v>22</v>
      </c>
      <c r="Q256" s="7"/>
      <c r="R256" s="7"/>
    </row>
    <row r="257" spans="1:18" ht="63.75" x14ac:dyDescent="0.25">
      <c r="A257" s="3" t="s">
        <v>18</v>
      </c>
      <c r="B257" s="3">
        <v>2013</v>
      </c>
      <c r="C257" s="3" t="s">
        <v>19</v>
      </c>
      <c r="D257" s="3" t="str">
        <f>"293 / 2013"</f>
        <v>293 / 2013</v>
      </c>
      <c r="E257" s="4">
        <v>41382</v>
      </c>
      <c r="F257" s="3" t="s">
        <v>616</v>
      </c>
      <c r="G257" s="5"/>
      <c r="H257" s="3" t="s">
        <v>617</v>
      </c>
      <c r="I257" s="3" t="str">
        <f t="shared" si="14"/>
        <v>9 / 17-04-2013</v>
      </c>
      <c r="J257" s="4">
        <v>41381</v>
      </c>
      <c r="K257" s="6">
        <v>0.79166666666666663</v>
      </c>
      <c r="L257" s="3">
        <v>26</v>
      </c>
      <c r="M257" s="3" t="s">
        <v>355</v>
      </c>
      <c r="N257" s="3" t="s">
        <v>355</v>
      </c>
      <c r="O257" s="5"/>
      <c r="P257" s="3" t="s">
        <v>22</v>
      </c>
      <c r="Q257" s="7"/>
      <c r="R257" s="7"/>
    </row>
    <row r="258" spans="1:18" ht="63.75" x14ac:dyDescent="0.25">
      <c r="A258" s="3" t="s">
        <v>18</v>
      </c>
      <c r="B258" s="3">
        <v>2013</v>
      </c>
      <c r="C258" s="3" t="s">
        <v>19</v>
      </c>
      <c r="D258" s="3" t="str">
        <f>"294 / 2013"</f>
        <v>294 / 2013</v>
      </c>
      <c r="E258" s="4">
        <v>41383</v>
      </c>
      <c r="F258" s="3" t="s">
        <v>618</v>
      </c>
      <c r="G258" s="5"/>
      <c r="H258" s="3" t="s">
        <v>619</v>
      </c>
      <c r="I258" s="3" t="str">
        <f t="shared" si="14"/>
        <v>9 / 17-04-2013</v>
      </c>
      <c r="J258" s="4">
        <v>41381</v>
      </c>
      <c r="K258" s="6">
        <v>0.79166666666666663</v>
      </c>
      <c r="L258" s="3">
        <v>26</v>
      </c>
      <c r="M258" s="3" t="s">
        <v>355</v>
      </c>
      <c r="N258" s="3" t="s">
        <v>355</v>
      </c>
      <c r="O258" s="5"/>
      <c r="P258" s="3" t="s">
        <v>22</v>
      </c>
      <c r="Q258" s="7"/>
      <c r="R258" s="7"/>
    </row>
    <row r="259" spans="1:18" ht="38.25" x14ac:dyDescent="0.25">
      <c r="A259" s="3" t="s">
        <v>18</v>
      </c>
      <c r="B259" s="3">
        <v>2013</v>
      </c>
      <c r="C259" s="3" t="s">
        <v>19</v>
      </c>
      <c r="D259" s="3" t="str">
        <f>"295 / 2013"</f>
        <v>295 / 2013</v>
      </c>
      <c r="E259" s="4">
        <v>41382</v>
      </c>
      <c r="F259" s="3" t="s">
        <v>620</v>
      </c>
      <c r="G259" s="5"/>
      <c r="H259" s="3" t="s">
        <v>621</v>
      </c>
      <c r="I259" s="3" t="str">
        <f t="shared" si="14"/>
        <v>9 / 17-04-2013</v>
      </c>
      <c r="J259" s="4">
        <v>41381</v>
      </c>
      <c r="K259" s="6">
        <v>0.79166666666666663</v>
      </c>
      <c r="L259" s="3">
        <v>27</v>
      </c>
      <c r="M259" s="3" t="s">
        <v>355</v>
      </c>
      <c r="N259" s="3" t="s">
        <v>355</v>
      </c>
      <c r="O259" s="5"/>
      <c r="P259" s="3" t="s">
        <v>22</v>
      </c>
      <c r="Q259" s="7"/>
      <c r="R259" s="7"/>
    </row>
    <row r="260" spans="1:18" ht="51" x14ac:dyDescent="0.25">
      <c r="A260" s="3" t="s">
        <v>18</v>
      </c>
      <c r="B260" s="3">
        <v>2013</v>
      </c>
      <c r="C260" s="3" t="s">
        <v>19</v>
      </c>
      <c r="D260" s="3" t="str">
        <f>"296 / 2013"</f>
        <v>296 / 2013</v>
      </c>
      <c r="E260" s="4">
        <v>41393</v>
      </c>
      <c r="F260" s="3" t="s">
        <v>622</v>
      </c>
      <c r="G260" s="5"/>
      <c r="H260" s="3" t="s">
        <v>623</v>
      </c>
      <c r="I260" s="3" t="str">
        <f t="shared" si="14"/>
        <v>9 / 17-04-2013</v>
      </c>
      <c r="J260" s="4">
        <v>41381</v>
      </c>
      <c r="K260" s="6">
        <v>0.79166666666666663</v>
      </c>
      <c r="L260" s="3">
        <v>28</v>
      </c>
      <c r="M260" s="3" t="s">
        <v>132</v>
      </c>
      <c r="N260" s="3" t="s">
        <v>132</v>
      </c>
      <c r="O260" s="5"/>
      <c r="P260" s="3" t="s">
        <v>22</v>
      </c>
      <c r="Q260" s="7"/>
      <c r="R260" s="7"/>
    </row>
    <row r="261" spans="1:18" ht="51" x14ac:dyDescent="0.25">
      <c r="A261" s="3" t="s">
        <v>18</v>
      </c>
      <c r="B261" s="3">
        <v>2013</v>
      </c>
      <c r="C261" s="3" t="s">
        <v>19</v>
      </c>
      <c r="D261" s="3" t="str">
        <f>"298 / 2013"</f>
        <v>298 / 2013</v>
      </c>
      <c r="E261" s="4">
        <v>41394</v>
      </c>
      <c r="F261" s="3" t="s">
        <v>624</v>
      </c>
      <c r="G261" s="5"/>
      <c r="H261" s="3" t="s">
        <v>625</v>
      </c>
      <c r="I261" s="3" t="str">
        <f t="shared" si="14"/>
        <v>9 / 17-04-2013</v>
      </c>
      <c r="J261" s="4">
        <v>41381</v>
      </c>
      <c r="K261" s="6">
        <v>0.79166666666666663</v>
      </c>
      <c r="L261" s="3">
        <v>28</v>
      </c>
      <c r="M261" s="3" t="s">
        <v>132</v>
      </c>
      <c r="N261" s="3" t="s">
        <v>132</v>
      </c>
      <c r="O261" s="5"/>
      <c r="P261" s="3" t="s">
        <v>22</v>
      </c>
      <c r="Q261" s="7"/>
      <c r="R261" s="7"/>
    </row>
    <row r="262" spans="1:18" ht="51" x14ac:dyDescent="0.25">
      <c r="A262" s="3" t="s">
        <v>18</v>
      </c>
      <c r="B262" s="3">
        <v>2013</v>
      </c>
      <c r="C262" s="3" t="s">
        <v>19</v>
      </c>
      <c r="D262" s="3" t="str">
        <f>"299 / 2013"</f>
        <v>299 / 2013</v>
      </c>
      <c r="E262" s="4">
        <v>41382</v>
      </c>
      <c r="F262" s="3" t="s">
        <v>626</v>
      </c>
      <c r="G262" s="5"/>
      <c r="H262" s="3" t="s">
        <v>627</v>
      </c>
      <c r="I262" s="3" t="str">
        <f t="shared" si="14"/>
        <v>9 / 17-04-2013</v>
      </c>
      <c r="J262" s="4">
        <v>41381</v>
      </c>
      <c r="K262" s="6">
        <v>0.79166666666666663</v>
      </c>
      <c r="L262" s="3">
        <v>29</v>
      </c>
      <c r="M262" s="3" t="s">
        <v>32</v>
      </c>
      <c r="N262" s="3" t="s">
        <v>32</v>
      </c>
      <c r="O262" s="5"/>
      <c r="P262" s="3" t="s">
        <v>22</v>
      </c>
      <c r="Q262" s="7"/>
      <c r="R262" s="7"/>
    </row>
    <row r="263" spans="1:18" ht="51" x14ac:dyDescent="0.25">
      <c r="A263" s="3" t="s">
        <v>18</v>
      </c>
      <c r="B263" s="3">
        <v>2013</v>
      </c>
      <c r="C263" s="3" t="s">
        <v>19</v>
      </c>
      <c r="D263" s="3" t="str">
        <f>"30/2013"</f>
        <v>30/2013</v>
      </c>
      <c r="E263" s="4">
        <v>41297</v>
      </c>
      <c r="F263" s="3" t="s">
        <v>628</v>
      </c>
      <c r="G263" s="5"/>
      <c r="H263" s="3" t="s">
        <v>629</v>
      </c>
      <c r="I263" s="3" t="str">
        <f>"3/23-01-2013"</f>
        <v>3/23-01-2013</v>
      </c>
      <c r="J263" s="4">
        <v>41297</v>
      </c>
      <c r="K263" s="6">
        <v>0.8125</v>
      </c>
      <c r="L263" s="3">
        <v>23</v>
      </c>
      <c r="M263" s="3" t="s">
        <v>62</v>
      </c>
      <c r="N263" s="3" t="s">
        <v>62</v>
      </c>
      <c r="O263" s="5"/>
      <c r="P263" s="3" t="s">
        <v>22</v>
      </c>
      <c r="Q263" s="7"/>
      <c r="R263" s="7"/>
    </row>
    <row r="264" spans="1:18" ht="51" x14ac:dyDescent="0.25">
      <c r="A264" s="3" t="s">
        <v>18</v>
      </c>
      <c r="B264" s="3">
        <v>2013</v>
      </c>
      <c r="C264" s="3" t="s">
        <v>19</v>
      </c>
      <c r="D264" s="3" t="str">
        <f>"300 / 2013"</f>
        <v>300 / 2013</v>
      </c>
      <c r="E264" s="4">
        <v>41382</v>
      </c>
      <c r="F264" s="3" t="s">
        <v>630</v>
      </c>
      <c r="G264" s="5"/>
      <c r="H264" s="3" t="s">
        <v>631</v>
      </c>
      <c r="I264" s="3" t="str">
        <f>"9 / 17-04-2013"</f>
        <v>9 / 17-04-2013</v>
      </c>
      <c r="J264" s="4">
        <v>41381</v>
      </c>
      <c r="K264" s="6">
        <v>0.79166666666666663</v>
      </c>
      <c r="L264" s="3">
        <v>29</v>
      </c>
      <c r="M264" s="3" t="s">
        <v>32</v>
      </c>
      <c r="N264" s="3" t="s">
        <v>32</v>
      </c>
      <c r="O264" s="5"/>
      <c r="P264" s="3" t="s">
        <v>22</v>
      </c>
      <c r="Q264" s="7"/>
      <c r="R264" s="7"/>
    </row>
    <row r="265" spans="1:18" ht="51" x14ac:dyDescent="0.25">
      <c r="A265" s="3" t="s">
        <v>18</v>
      </c>
      <c r="B265" s="3">
        <v>2013</v>
      </c>
      <c r="C265" s="3" t="s">
        <v>19</v>
      </c>
      <c r="D265" s="3" t="str">
        <f>"301 / 2013"</f>
        <v>301 / 2013</v>
      </c>
      <c r="E265" s="4">
        <v>41383</v>
      </c>
      <c r="F265" s="3" t="s">
        <v>632</v>
      </c>
      <c r="G265" s="5"/>
      <c r="H265" s="3" t="s">
        <v>633</v>
      </c>
      <c r="I265" s="5"/>
      <c r="J265" s="5"/>
      <c r="K265" s="5"/>
      <c r="L265" s="3">
        <v>30</v>
      </c>
      <c r="M265" s="3" t="s">
        <v>32</v>
      </c>
      <c r="N265" s="3" t="s">
        <v>32</v>
      </c>
      <c r="O265" s="5"/>
      <c r="P265" s="3" t="s">
        <v>22</v>
      </c>
      <c r="Q265" s="7"/>
      <c r="R265" s="7"/>
    </row>
    <row r="266" spans="1:18" ht="51" x14ac:dyDescent="0.25">
      <c r="A266" s="3" t="s">
        <v>18</v>
      </c>
      <c r="B266" s="3">
        <v>2013</v>
      </c>
      <c r="C266" s="3" t="s">
        <v>19</v>
      </c>
      <c r="D266" s="3" t="str">
        <f>"302 / 2013"</f>
        <v>302 / 2013</v>
      </c>
      <c r="E266" s="4">
        <v>41383</v>
      </c>
      <c r="F266" s="3" t="s">
        <v>634</v>
      </c>
      <c r="G266" s="5"/>
      <c r="H266" s="3" t="s">
        <v>635</v>
      </c>
      <c r="I266" s="3" t="str">
        <f>"9 / 17-04-2013"</f>
        <v>9 / 17-04-2013</v>
      </c>
      <c r="J266" s="4">
        <v>41381</v>
      </c>
      <c r="K266" s="6">
        <v>0.79166666666666663</v>
      </c>
      <c r="L266" s="3">
        <v>30</v>
      </c>
      <c r="M266" s="3" t="s">
        <v>32</v>
      </c>
      <c r="N266" s="3" t="s">
        <v>32</v>
      </c>
      <c r="O266" s="5"/>
      <c r="P266" s="3" t="s">
        <v>22</v>
      </c>
      <c r="Q266" s="7"/>
      <c r="R266" s="7"/>
    </row>
    <row r="267" spans="1:18" ht="76.5" x14ac:dyDescent="0.25">
      <c r="A267" s="3" t="s">
        <v>18</v>
      </c>
      <c r="B267" s="3">
        <v>2013</v>
      </c>
      <c r="C267" s="3" t="s">
        <v>19</v>
      </c>
      <c r="D267" s="3" t="str">
        <f>"303 / 2013"</f>
        <v>303 / 2013</v>
      </c>
      <c r="E267" s="4">
        <v>41386</v>
      </c>
      <c r="F267" s="3" t="s">
        <v>636</v>
      </c>
      <c r="G267" s="5"/>
      <c r="H267" s="3" t="s">
        <v>637</v>
      </c>
      <c r="I267" s="3" t="str">
        <f>"9 / 17-04-2013"</f>
        <v>9 / 17-04-2013</v>
      </c>
      <c r="J267" s="4">
        <v>41381</v>
      </c>
      <c r="K267" s="6">
        <v>0.79166666666666663</v>
      </c>
      <c r="L267" s="5"/>
      <c r="M267" s="3" t="s">
        <v>178</v>
      </c>
      <c r="N267" s="3" t="s">
        <v>178</v>
      </c>
      <c r="O267" s="5"/>
      <c r="P267" s="3" t="s">
        <v>74</v>
      </c>
      <c r="Q267" s="7"/>
      <c r="R267" s="7"/>
    </row>
    <row r="268" spans="1:18" ht="51" x14ac:dyDescent="0.25">
      <c r="A268" s="3" t="s">
        <v>18</v>
      </c>
      <c r="B268" s="3">
        <v>2013</v>
      </c>
      <c r="C268" s="3" t="s">
        <v>19</v>
      </c>
      <c r="D268" s="3" t="str">
        <f>"304 / 2013"</f>
        <v>304 / 2013</v>
      </c>
      <c r="E268" s="4">
        <v>41382</v>
      </c>
      <c r="F268" s="3" t="s">
        <v>638</v>
      </c>
      <c r="G268" s="5"/>
      <c r="H268" s="3" t="s">
        <v>639</v>
      </c>
      <c r="I268" s="3" t="str">
        <f>"9 / 17-04-2013"</f>
        <v>9 / 17-04-2013</v>
      </c>
      <c r="J268" s="4">
        <v>41381</v>
      </c>
      <c r="K268" s="6">
        <v>0.79166666666666663</v>
      </c>
      <c r="L268" s="5"/>
      <c r="M268" s="3" t="s">
        <v>442</v>
      </c>
      <c r="N268" s="3" t="s">
        <v>442</v>
      </c>
      <c r="O268" s="5"/>
      <c r="P268" s="3" t="s">
        <v>74</v>
      </c>
      <c r="Q268" s="7"/>
      <c r="R268" s="7"/>
    </row>
    <row r="269" spans="1:18" ht="76.5" x14ac:dyDescent="0.25">
      <c r="A269" s="3" t="s">
        <v>18</v>
      </c>
      <c r="B269" s="3">
        <v>2013</v>
      </c>
      <c r="C269" s="3" t="s">
        <v>19</v>
      </c>
      <c r="D269" s="3" t="str">
        <f>"305 / 2013"</f>
        <v>305 / 2013</v>
      </c>
      <c r="E269" s="4">
        <v>41409</v>
      </c>
      <c r="F269" s="3" t="s">
        <v>640</v>
      </c>
      <c r="G269" s="5"/>
      <c r="H269" s="3" t="s">
        <v>641</v>
      </c>
      <c r="I269" s="3" t="str">
        <f>"10 / 30-04-2013"</f>
        <v>10 / 30-04-2013</v>
      </c>
      <c r="J269" s="4">
        <v>41394</v>
      </c>
      <c r="K269" s="6">
        <v>0.64583333333333337</v>
      </c>
      <c r="L269" s="3">
        <v>1</v>
      </c>
      <c r="M269" s="3" t="s">
        <v>50</v>
      </c>
      <c r="N269" s="3" t="s">
        <v>50</v>
      </c>
      <c r="O269" s="5"/>
      <c r="P269" s="3" t="s">
        <v>22</v>
      </c>
      <c r="Q269" s="7"/>
      <c r="R269" s="7"/>
    </row>
    <row r="270" spans="1:18" ht="51" x14ac:dyDescent="0.25">
      <c r="A270" s="3" t="s">
        <v>18</v>
      </c>
      <c r="B270" s="3">
        <v>2013</v>
      </c>
      <c r="C270" s="3" t="s">
        <v>19</v>
      </c>
      <c r="D270" s="3" t="str">
        <f>"306 / 2013"</f>
        <v>306 / 2013</v>
      </c>
      <c r="E270" s="4">
        <v>41402</v>
      </c>
      <c r="F270" s="3" t="s">
        <v>642</v>
      </c>
      <c r="G270" s="5"/>
      <c r="H270" s="3" t="s">
        <v>643</v>
      </c>
      <c r="I270" s="3" t="str">
        <f>"10 / 30-04-2013"</f>
        <v>10 / 30-04-2013</v>
      </c>
      <c r="J270" s="4">
        <v>41394</v>
      </c>
      <c r="K270" s="6">
        <v>0.64583333333333337</v>
      </c>
      <c r="L270" s="3">
        <v>2</v>
      </c>
      <c r="M270" s="3" t="s">
        <v>501</v>
      </c>
      <c r="N270" s="3" t="s">
        <v>501</v>
      </c>
      <c r="O270" s="5"/>
      <c r="P270" s="3" t="s">
        <v>22</v>
      </c>
      <c r="Q270" s="7"/>
      <c r="R270" s="7"/>
    </row>
    <row r="271" spans="1:18" ht="140.25" x14ac:dyDescent="0.25">
      <c r="A271" s="3" t="s">
        <v>18</v>
      </c>
      <c r="B271" s="3">
        <v>2013</v>
      </c>
      <c r="C271" s="3" t="s">
        <v>19</v>
      </c>
      <c r="D271" s="3" t="str">
        <f>"307 / 2013"</f>
        <v>307 / 2013</v>
      </c>
      <c r="E271" s="4">
        <v>41408</v>
      </c>
      <c r="F271" s="3" t="s">
        <v>644</v>
      </c>
      <c r="G271" s="5"/>
      <c r="H271" s="3" t="s">
        <v>645</v>
      </c>
      <c r="I271" s="3" t="str">
        <f>"10 / 30-04-2013"</f>
        <v>10 / 30-04-2013</v>
      </c>
      <c r="J271" s="4">
        <v>41394</v>
      </c>
      <c r="K271" s="6">
        <v>0.64583333333333337</v>
      </c>
      <c r="L271" s="3">
        <v>3</v>
      </c>
      <c r="M271" s="3" t="s">
        <v>324</v>
      </c>
      <c r="N271" s="3" t="s">
        <v>324</v>
      </c>
      <c r="O271" s="5"/>
      <c r="P271" s="3" t="s">
        <v>22</v>
      </c>
      <c r="Q271" s="7"/>
      <c r="R271" s="7"/>
    </row>
    <row r="272" spans="1:18" ht="38.25" x14ac:dyDescent="0.25">
      <c r="A272" s="3" t="s">
        <v>18</v>
      </c>
      <c r="B272" s="3">
        <v>2013</v>
      </c>
      <c r="C272" s="3" t="s">
        <v>19</v>
      </c>
      <c r="D272" s="3" t="str">
        <f>"308 / 2013"</f>
        <v>308 / 2013</v>
      </c>
      <c r="E272" s="4">
        <v>41401</v>
      </c>
      <c r="F272" s="3" t="s">
        <v>646</v>
      </c>
      <c r="G272" s="5"/>
      <c r="H272" s="3" t="s">
        <v>647</v>
      </c>
      <c r="I272" s="3" t="str">
        <f>"10 / 30-04-2013"</f>
        <v>10 / 30-04-2013</v>
      </c>
      <c r="J272" s="4">
        <v>41394</v>
      </c>
      <c r="K272" s="6">
        <v>0.64583333333333337</v>
      </c>
      <c r="L272" s="3">
        <v>4</v>
      </c>
      <c r="M272" s="3" t="s">
        <v>139</v>
      </c>
      <c r="N272" s="3" t="s">
        <v>139</v>
      </c>
      <c r="O272" s="5"/>
      <c r="P272" s="3" t="s">
        <v>22</v>
      </c>
      <c r="Q272" s="7"/>
      <c r="R272" s="7"/>
    </row>
    <row r="273" spans="1:18" ht="38.25" x14ac:dyDescent="0.25">
      <c r="A273" s="3" t="s">
        <v>18</v>
      </c>
      <c r="B273" s="3">
        <v>2013</v>
      </c>
      <c r="C273" s="3" t="s">
        <v>19</v>
      </c>
      <c r="D273" s="3" t="str">
        <f>"309 / 2013"</f>
        <v>309 / 2013</v>
      </c>
      <c r="E273" s="4">
        <v>41396</v>
      </c>
      <c r="F273" s="3" t="s">
        <v>648</v>
      </c>
      <c r="G273" s="5"/>
      <c r="H273" s="3" t="s">
        <v>649</v>
      </c>
      <c r="I273" s="3" t="str">
        <f>"10 / 30-04-2013"</f>
        <v>10 / 30-04-2013</v>
      </c>
      <c r="J273" s="4">
        <v>41394</v>
      </c>
      <c r="K273" s="6">
        <v>0.64583333333333337</v>
      </c>
      <c r="L273" s="3">
        <v>5</v>
      </c>
      <c r="M273" s="3" t="s">
        <v>650</v>
      </c>
      <c r="N273" s="3" t="s">
        <v>650</v>
      </c>
      <c r="O273" s="5"/>
      <c r="P273" s="3" t="s">
        <v>22</v>
      </c>
      <c r="Q273" s="7"/>
      <c r="R273" s="7"/>
    </row>
    <row r="274" spans="1:18" ht="51" x14ac:dyDescent="0.25">
      <c r="A274" s="3" t="s">
        <v>18</v>
      </c>
      <c r="B274" s="3">
        <v>2013</v>
      </c>
      <c r="C274" s="3" t="s">
        <v>19</v>
      </c>
      <c r="D274" s="3" t="str">
        <f>"31/2013"</f>
        <v>31/2013</v>
      </c>
      <c r="E274" s="4">
        <v>41297</v>
      </c>
      <c r="F274" s="3" t="s">
        <v>651</v>
      </c>
      <c r="G274" s="5"/>
      <c r="H274" s="3" t="s">
        <v>652</v>
      </c>
      <c r="I274" s="3" t="str">
        <f>"3/23-01-2013"</f>
        <v>3/23-01-2013</v>
      </c>
      <c r="J274" s="4">
        <v>41297</v>
      </c>
      <c r="K274" s="6">
        <v>0.8125</v>
      </c>
      <c r="L274" s="3">
        <v>24</v>
      </c>
      <c r="M274" s="3" t="s">
        <v>62</v>
      </c>
      <c r="N274" s="3" t="s">
        <v>62</v>
      </c>
      <c r="O274" s="5"/>
      <c r="P274" s="3" t="s">
        <v>22</v>
      </c>
      <c r="Q274" s="7"/>
      <c r="R274" s="7"/>
    </row>
    <row r="275" spans="1:18" ht="63.75" x14ac:dyDescent="0.25">
      <c r="A275" s="3" t="s">
        <v>18</v>
      </c>
      <c r="B275" s="3">
        <v>2013</v>
      </c>
      <c r="C275" s="3" t="s">
        <v>19</v>
      </c>
      <c r="D275" s="3" t="str">
        <f>"310 / 2013"</f>
        <v>310 / 2013</v>
      </c>
      <c r="E275" s="4">
        <v>41401</v>
      </c>
      <c r="F275" s="3" t="s">
        <v>653</v>
      </c>
      <c r="G275" s="5"/>
      <c r="H275" s="3" t="s">
        <v>654</v>
      </c>
      <c r="I275" s="3" t="str">
        <f t="shared" ref="I275:I284" si="15">"10 / 30-04-2013"</f>
        <v>10 / 30-04-2013</v>
      </c>
      <c r="J275" s="4">
        <v>41394</v>
      </c>
      <c r="K275" s="6">
        <v>0.64583333333333337</v>
      </c>
      <c r="L275" s="3">
        <v>6</v>
      </c>
      <c r="M275" s="3" t="s">
        <v>542</v>
      </c>
      <c r="N275" s="3" t="s">
        <v>655</v>
      </c>
      <c r="O275" s="5"/>
      <c r="P275" s="3" t="s">
        <v>22</v>
      </c>
      <c r="Q275" s="7"/>
      <c r="R275" s="7"/>
    </row>
    <row r="276" spans="1:18" ht="63.75" x14ac:dyDescent="0.25">
      <c r="A276" s="3" t="s">
        <v>18</v>
      </c>
      <c r="B276" s="3">
        <v>2013</v>
      </c>
      <c r="C276" s="3" t="s">
        <v>19</v>
      </c>
      <c r="D276" s="3" t="str">
        <f>"311 / 2013"</f>
        <v>311 / 2013</v>
      </c>
      <c r="E276" s="4">
        <v>41401</v>
      </c>
      <c r="F276" s="3" t="s">
        <v>656</v>
      </c>
      <c r="G276" s="5"/>
      <c r="H276" s="3" t="s">
        <v>657</v>
      </c>
      <c r="I276" s="3" t="str">
        <f t="shared" si="15"/>
        <v>10 / 30-04-2013</v>
      </c>
      <c r="J276" s="4">
        <v>41394</v>
      </c>
      <c r="K276" s="6">
        <v>0.64583333333333337</v>
      </c>
      <c r="L276" s="3">
        <v>6</v>
      </c>
      <c r="M276" s="3" t="s">
        <v>139</v>
      </c>
      <c r="N276" s="3" t="s">
        <v>139</v>
      </c>
      <c r="O276" s="5"/>
      <c r="P276" s="3" t="s">
        <v>22</v>
      </c>
      <c r="Q276" s="7"/>
      <c r="R276" s="7"/>
    </row>
    <row r="277" spans="1:18" ht="63.75" x14ac:dyDescent="0.25">
      <c r="A277" s="3" t="s">
        <v>18</v>
      </c>
      <c r="B277" s="3">
        <v>2013</v>
      </c>
      <c r="C277" s="3" t="s">
        <v>19</v>
      </c>
      <c r="D277" s="3" t="str">
        <f>"312 / 2013"</f>
        <v>312 / 2013</v>
      </c>
      <c r="E277" s="4">
        <v>41409</v>
      </c>
      <c r="F277" s="3" t="s">
        <v>658</v>
      </c>
      <c r="G277" s="5"/>
      <c r="H277" s="3" t="s">
        <v>659</v>
      </c>
      <c r="I277" s="3" t="str">
        <f t="shared" si="15"/>
        <v>10 / 30-04-2013</v>
      </c>
      <c r="J277" s="4">
        <v>41394</v>
      </c>
      <c r="K277" s="6">
        <v>0.64583333333333337</v>
      </c>
      <c r="L277" s="3">
        <v>7</v>
      </c>
      <c r="M277" s="3" t="s">
        <v>660</v>
      </c>
      <c r="N277" s="3" t="s">
        <v>661</v>
      </c>
      <c r="O277" s="5"/>
      <c r="P277" s="3" t="s">
        <v>22</v>
      </c>
      <c r="Q277" s="7"/>
      <c r="R277" s="7"/>
    </row>
    <row r="278" spans="1:18" ht="63.75" x14ac:dyDescent="0.25">
      <c r="A278" s="3" t="s">
        <v>18</v>
      </c>
      <c r="B278" s="3">
        <v>2013</v>
      </c>
      <c r="C278" s="3" t="s">
        <v>19</v>
      </c>
      <c r="D278" s="3" t="str">
        <f>"313 / 2013"</f>
        <v>313 / 2013</v>
      </c>
      <c r="E278" s="4">
        <v>41407</v>
      </c>
      <c r="F278" s="3" t="s">
        <v>662</v>
      </c>
      <c r="G278" s="5"/>
      <c r="H278" s="3" t="s">
        <v>663</v>
      </c>
      <c r="I278" s="3" t="str">
        <f t="shared" si="15"/>
        <v>10 / 30-04-2013</v>
      </c>
      <c r="J278" s="4">
        <v>41394</v>
      </c>
      <c r="K278" s="6">
        <v>0.64583333333333337</v>
      </c>
      <c r="L278" s="3">
        <v>8</v>
      </c>
      <c r="M278" s="3" t="s">
        <v>56</v>
      </c>
      <c r="N278" s="3" t="s">
        <v>56</v>
      </c>
      <c r="O278" s="5"/>
      <c r="P278" s="3" t="s">
        <v>22</v>
      </c>
      <c r="Q278" s="7"/>
      <c r="R278" s="7"/>
    </row>
    <row r="279" spans="1:18" ht="76.5" x14ac:dyDescent="0.25">
      <c r="A279" s="3" t="s">
        <v>18</v>
      </c>
      <c r="B279" s="3">
        <v>2013</v>
      </c>
      <c r="C279" s="3" t="s">
        <v>19</v>
      </c>
      <c r="D279" s="3" t="str">
        <f>"314 / 2013"</f>
        <v>314 / 2013</v>
      </c>
      <c r="E279" s="4">
        <v>41408</v>
      </c>
      <c r="F279" s="3" t="s">
        <v>664</v>
      </c>
      <c r="G279" s="5"/>
      <c r="H279" s="3" t="s">
        <v>665</v>
      </c>
      <c r="I279" s="3" t="str">
        <f t="shared" si="15"/>
        <v>10 / 30-04-2013</v>
      </c>
      <c r="J279" s="4">
        <v>41394</v>
      </c>
      <c r="K279" s="6">
        <v>0.64583333333333337</v>
      </c>
      <c r="L279" s="3">
        <v>9</v>
      </c>
      <c r="M279" s="3" t="s">
        <v>50</v>
      </c>
      <c r="N279" s="3" t="s">
        <v>50</v>
      </c>
      <c r="O279" s="5"/>
      <c r="P279" s="3" t="s">
        <v>22</v>
      </c>
      <c r="Q279" s="7"/>
      <c r="R279" s="7"/>
    </row>
    <row r="280" spans="1:18" ht="114.75" x14ac:dyDescent="0.25">
      <c r="A280" s="3" t="s">
        <v>18</v>
      </c>
      <c r="B280" s="3">
        <v>2013</v>
      </c>
      <c r="C280" s="3" t="s">
        <v>19</v>
      </c>
      <c r="D280" s="3" t="str">
        <f>"315 / 2013"</f>
        <v>315 / 2013</v>
      </c>
      <c r="E280" s="4">
        <v>41409</v>
      </c>
      <c r="F280" s="3" t="s">
        <v>666</v>
      </c>
      <c r="G280" s="5"/>
      <c r="H280" s="3" t="s">
        <v>667</v>
      </c>
      <c r="I280" s="3" t="str">
        <f t="shared" si="15"/>
        <v>10 / 30-04-2013</v>
      </c>
      <c r="J280" s="4">
        <v>41394</v>
      </c>
      <c r="K280" s="6">
        <v>0.64583333333333337</v>
      </c>
      <c r="L280" s="3">
        <v>9</v>
      </c>
      <c r="M280" s="3" t="s">
        <v>525</v>
      </c>
      <c r="N280" s="3" t="s">
        <v>525</v>
      </c>
      <c r="O280" s="5"/>
      <c r="P280" s="3" t="s">
        <v>22</v>
      </c>
      <c r="Q280" s="7"/>
      <c r="R280" s="7"/>
    </row>
    <row r="281" spans="1:18" ht="89.25" x14ac:dyDescent="0.25">
      <c r="A281" s="3" t="s">
        <v>18</v>
      </c>
      <c r="B281" s="3">
        <v>2013</v>
      </c>
      <c r="C281" s="3" t="s">
        <v>19</v>
      </c>
      <c r="D281" s="3" t="str">
        <f>"316 / 2013"</f>
        <v>316 / 2013</v>
      </c>
      <c r="E281" s="4">
        <v>41409</v>
      </c>
      <c r="F281" s="3" t="s">
        <v>668</v>
      </c>
      <c r="G281" s="5"/>
      <c r="H281" s="3" t="s">
        <v>669</v>
      </c>
      <c r="I281" s="3" t="str">
        <f t="shared" si="15"/>
        <v>10 / 30-04-2013</v>
      </c>
      <c r="J281" s="4">
        <v>41394</v>
      </c>
      <c r="K281" s="6">
        <v>0.64583333333333337</v>
      </c>
      <c r="L281" s="3">
        <v>10</v>
      </c>
      <c r="M281" s="3" t="s">
        <v>670</v>
      </c>
      <c r="N281" s="3" t="s">
        <v>670</v>
      </c>
      <c r="O281" s="5"/>
      <c r="P281" s="3" t="s">
        <v>22</v>
      </c>
      <c r="Q281" s="7"/>
      <c r="R281" s="7"/>
    </row>
    <row r="282" spans="1:18" ht="76.5" x14ac:dyDescent="0.25">
      <c r="A282" s="3" t="s">
        <v>18</v>
      </c>
      <c r="B282" s="3">
        <v>2013</v>
      </c>
      <c r="C282" s="3" t="s">
        <v>19</v>
      </c>
      <c r="D282" s="3" t="str">
        <f>"317 / 2013"</f>
        <v>317 / 2013</v>
      </c>
      <c r="E282" s="4">
        <v>41408</v>
      </c>
      <c r="F282" s="3" t="s">
        <v>671</v>
      </c>
      <c r="G282" s="5"/>
      <c r="H282" s="3" t="s">
        <v>672</v>
      </c>
      <c r="I282" s="3" t="str">
        <f t="shared" si="15"/>
        <v>10 / 30-04-2013</v>
      </c>
      <c r="J282" s="4">
        <v>41394</v>
      </c>
      <c r="K282" s="6">
        <v>0.64583333333333337</v>
      </c>
      <c r="L282" s="3">
        <v>11</v>
      </c>
      <c r="M282" s="3" t="s">
        <v>673</v>
      </c>
      <c r="N282" s="3" t="s">
        <v>655</v>
      </c>
      <c r="O282" s="5"/>
      <c r="P282" s="3" t="s">
        <v>22</v>
      </c>
      <c r="Q282" s="7"/>
      <c r="R282" s="7"/>
    </row>
    <row r="283" spans="1:18" ht="89.25" x14ac:dyDescent="0.25">
      <c r="A283" s="3" t="s">
        <v>18</v>
      </c>
      <c r="B283" s="3">
        <v>2013</v>
      </c>
      <c r="C283" s="3" t="s">
        <v>19</v>
      </c>
      <c r="D283" s="3" t="str">
        <f>"318 / 2013"</f>
        <v>318 / 2013</v>
      </c>
      <c r="E283" s="4">
        <v>41407</v>
      </c>
      <c r="F283" s="3" t="s">
        <v>674</v>
      </c>
      <c r="G283" s="5"/>
      <c r="H283" s="3" t="s">
        <v>675</v>
      </c>
      <c r="I283" s="3" t="str">
        <f t="shared" si="15"/>
        <v>10 / 30-04-2013</v>
      </c>
      <c r="J283" s="4">
        <v>41394</v>
      </c>
      <c r="K283" s="6">
        <v>0.64583333333333337</v>
      </c>
      <c r="L283" s="3">
        <v>12</v>
      </c>
      <c r="M283" s="3" t="s">
        <v>534</v>
      </c>
      <c r="N283" s="3" t="s">
        <v>534</v>
      </c>
      <c r="O283" s="5"/>
      <c r="P283" s="3" t="s">
        <v>22</v>
      </c>
      <c r="Q283" s="7"/>
      <c r="R283" s="7"/>
    </row>
    <row r="284" spans="1:18" ht="76.5" x14ac:dyDescent="0.25">
      <c r="A284" s="3" t="s">
        <v>18</v>
      </c>
      <c r="B284" s="3">
        <v>2013</v>
      </c>
      <c r="C284" s="3" t="s">
        <v>19</v>
      </c>
      <c r="D284" s="3" t="str">
        <f>"319 / 2013"</f>
        <v>319 / 2013</v>
      </c>
      <c r="E284" s="4">
        <v>41402</v>
      </c>
      <c r="F284" s="3" t="s">
        <v>676</v>
      </c>
      <c r="G284" s="5"/>
      <c r="H284" s="3" t="s">
        <v>677</v>
      </c>
      <c r="I284" s="3" t="str">
        <f t="shared" si="15"/>
        <v>10 / 30-04-2013</v>
      </c>
      <c r="J284" s="4">
        <v>41394</v>
      </c>
      <c r="K284" s="6">
        <v>0.64583333333333337</v>
      </c>
      <c r="L284" s="3">
        <v>12</v>
      </c>
      <c r="M284" s="3" t="s">
        <v>534</v>
      </c>
      <c r="N284" s="3" t="s">
        <v>534</v>
      </c>
      <c r="O284" s="5"/>
      <c r="P284" s="3" t="s">
        <v>22</v>
      </c>
      <c r="Q284" s="7"/>
      <c r="R284" s="7"/>
    </row>
    <row r="285" spans="1:18" ht="102" x14ac:dyDescent="0.25">
      <c r="A285" s="3" t="s">
        <v>18</v>
      </c>
      <c r="B285" s="3">
        <v>2013</v>
      </c>
      <c r="C285" s="3" t="s">
        <v>19</v>
      </c>
      <c r="D285" s="3" t="str">
        <f>"32/2013"</f>
        <v>32/2013</v>
      </c>
      <c r="E285" s="4">
        <v>41297</v>
      </c>
      <c r="F285" s="3" t="s">
        <v>678</v>
      </c>
      <c r="G285" s="5"/>
      <c r="H285" s="3" t="s">
        <v>679</v>
      </c>
      <c r="I285" s="3" t="str">
        <f>"3/23-01-2013"</f>
        <v>3/23-01-2013</v>
      </c>
      <c r="J285" s="4">
        <v>41297</v>
      </c>
      <c r="K285" s="6">
        <v>0.8125</v>
      </c>
      <c r="L285" s="3">
        <v>24</v>
      </c>
      <c r="M285" s="3" t="s">
        <v>62</v>
      </c>
      <c r="N285" s="3" t="s">
        <v>62</v>
      </c>
      <c r="O285" s="5"/>
      <c r="P285" s="3" t="s">
        <v>22</v>
      </c>
      <c r="Q285" s="7"/>
      <c r="R285" s="7"/>
    </row>
    <row r="286" spans="1:18" ht="63.75" x14ac:dyDescent="0.25">
      <c r="A286" s="3" t="s">
        <v>18</v>
      </c>
      <c r="B286" s="3">
        <v>2013</v>
      </c>
      <c r="C286" s="3" t="s">
        <v>19</v>
      </c>
      <c r="D286" s="3" t="str">
        <f>"321 / 2013"</f>
        <v>321 / 2013</v>
      </c>
      <c r="E286" s="4">
        <v>41403</v>
      </c>
      <c r="F286" s="3" t="s">
        <v>680</v>
      </c>
      <c r="G286" s="5"/>
      <c r="H286" s="3" t="s">
        <v>681</v>
      </c>
      <c r="I286" s="3" t="str">
        <f t="shared" ref="I286:I294" si="16">"10 / 30-04-2013"</f>
        <v>10 / 30-04-2013</v>
      </c>
      <c r="J286" s="4">
        <v>41394</v>
      </c>
      <c r="K286" s="6">
        <v>0.64583333333333337</v>
      </c>
      <c r="L286" s="3">
        <v>12</v>
      </c>
      <c r="M286" s="3" t="s">
        <v>534</v>
      </c>
      <c r="N286" s="3" t="s">
        <v>534</v>
      </c>
      <c r="O286" s="5"/>
      <c r="P286" s="3" t="s">
        <v>22</v>
      </c>
      <c r="Q286" s="7"/>
      <c r="R286" s="7"/>
    </row>
    <row r="287" spans="1:18" ht="114.75" x14ac:dyDescent="0.25">
      <c r="A287" s="3" t="s">
        <v>18</v>
      </c>
      <c r="B287" s="3">
        <v>2013</v>
      </c>
      <c r="C287" s="3" t="s">
        <v>19</v>
      </c>
      <c r="D287" s="3" t="str">
        <f>"322 / 2013"</f>
        <v>322 / 2013</v>
      </c>
      <c r="E287" s="4">
        <v>41408</v>
      </c>
      <c r="F287" s="3" t="s">
        <v>682</v>
      </c>
      <c r="G287" s="5"/>
      <c r="H287" s="3" t="s">
        <v>683</v>
      </c>
      <c r="I287" s="3" t="str">
        <f t="shared" si="16"/>
        <v>10 / 30-04-2013</v>
      </c>
      <c r="J287" s="4">
        <v>41394</v>
      </c>
      <c r="K287" s="6">
        <v>0.64583333333333337</v>
      </c>
      <c r="L287" s="3">
        <v>14</v>
      </c>
      <c r="M287" s="3" t="s">
        <v>56</v>
      </c>
      <c r="N287" s="3" t="s">
        <v>56</v>
      </c>
      <c r="O287" s="5"/>
      <c r="P287" s="3" t="s">
        <v>22</v>
      </c>
      <c r="Q287" s="7"/>
      <c r="R287" s="7"/>
    </row>
    <row r="288" spans="1:18" ht="51" x14ac:dyDescent="0.25">
      <c r="A288" s="3" t="s">
        <v>18</v>
      </c>
      <c r="B288" s="3">
        <v>2013</v>
      </c>
      <c r="C288" s="3" t="s">
        <v>19</v>
      </c>
      <c r="D288" s="3" t="str">
        <f>"323 / 2013"</f>
        <v>323 / 2013</v>
      </c>
      <c r="E288" s="4">
        <v>41407</v>
      </c>
      <c r="F288" s="3" t="s">
        <v>684</v>
      </c>
      <c r="G288" s="5"/>
      <c r="H288" s="3" t="s">
        <v>685</v>
      </c>
      <c r="I288" s="3" t="str">
        <f t="shared" si="16"/>
        <v>10 / 30-04-2013</v>
      </c>
      <c r="J288" s="4">
        <v>41394</v>
      </c>
      <c r="K288" s="6">
        <v>0.64583333333333337</v>
      </c>
      <c r="L288" s="3">
        <v>15</v>
      </c>
      <c r="M288" s="3" t="s">
        <v>549</v>
      </c>
      <c r="N288" s="3" t="s">
        <v>549</v>
      </c>
      <c r="O288" s="5"/>
      <c r="P288" s="3" t="s">
        <v>22</v>
      </c>
      <c r="Q288" s="7"/>
      <c r="R288" s="7"/>
    </row>
    <row r="289" spans="1:18" ht="63.75" x14ac:dyDescent="0.25">
      <c r="A289" s="3" t="s">
        <v>18</v>
      </c>
      <c r="B289" s="3">
        <v>2013</v>
      </c>
      <c r="C289" s="3" t="s">
        <v>19</v>
      </c>
      <c r="D289" s="3" t="str">
        <f>"324 / 2013"</f>
        <v>324 / 2013</v>
      </c>
      <c r="E289" s="4">
        <v>41403</v>
      </c>
      <c r="F289" s="3" t="s">
        <v>686</v>
      </c>
      <c r="G289" s="5"/>
      <c r="H289" s="3" t="s">
        <v>687</v>
      </c>
      <c r="I289" s="3" t="str">
        <f t="shared" si="16"/>
        <v>10 / 30-04-2013</v>
      </c>
      <c r="J289" s="4">
        <v>41394</v>
      </c>
      <c r="K289" s="6">
        <v>0.64583333333333337</v>
      </c>
      <c r="L289" s="3">
        <v>16</v>
      </c>
      <c r="M289" s="3" t="s">
        <v>56</v>
      </c>
      <c r="N289" s="3" t="s">
        <v>56</v>
      </c>
      <c r="O289" s="5"/>
      <c r="P289" s="3" t="s">
        <v>22</v>
      </c>
      <c r="Q289" s="7"/>
      <c r="R289" s="7"/>
    </row>
    <row r="290" spans="1:18" ht="140.25" x14ac:dyDescent="0.25">
      <c r="A290" s="3" t="s">
        <v>18</v>
      </c>
      <c r="B290" s="3">
        <v>2013</v>
      </c>
      <c r="C290" s="3" t="s">
        <v>19</v>
      </c>
      <c r="D290" s="3" t="str">
        <f>"325 / 2013"</f>
        <v>325 / 2013</v>
      </c>
      <c r="E290" s="4">
        <v>41407</v>
      </c>
      <c r="F290" s="3" t="s">
        <v>688</v>
      </c>
      <c r="G290" s="5"/>
      <c r="H290" s="3" t="s">
        <v>689</v>
      </c>
      <c r="I290" s="3" t="str">
        <f t="shared" si="16"/>
        <v>10 / 30-04-2013</v>
      </c>
      <c r="J290" s="4">
        <v>41394</v>
      </c>
      <c r="K290" s="6">
        <v>0.64583333333333337</v>
      </c>
      <c r="L290" s="3">
        <v>17</v>
      </c>
      <c r="M290" s="3" t="s">
        <v>690</v>
      </c>
      <c r="N290" s="3" t="s">
        <v>690</v>
      </c>
      <c r="O290" s="5"/>
      <c r="P290" s="3" t="s">
        <v>22</v>
      </c>
      <c r="Q290" s="7"/>
      <c r="R290" s="7"/>
    </row>
    <row r="291" spans="1:18" ht="63.75" x14ac:dyDescent="0.25">
      <c r="A291" s="3" t="s">
        <v>18</v>
      </c>
      <c r="B291" s="3">
        <v>2013</v>
      </c>
      <c r="C291" s="3" t="s">
        <v>19</v>
      </c>
      <c r="D291" s="3" t="str">
        <f>"326 / 2013"</f>
        <v>326 / 2013</v>
      </c>
      <c r="E291" s="4">
        <v>41396</v>
      </c>
      <c r="F291" s="3" t="s">
        <v>691</v>
      </c>
      <c r="G291" s="5"/>
      <c r="H291" s="3" t="s">
        <v>692</v>
      </c>
      <c r="I291" s="3" t="str">
        <f t="shared" si="16"/>
        <v>10 / 30-04-2013</v>
      </c>
      <c r="J291" s="4">
        <v>41394</v>
      </c>
      <c r="K291" s="6">
        <v>0.64583333333333337</v>
      </c>
      <c r="L291" s="3">
        <v>18</v>
      </c>
      <c r="M291" s="3" t="s">
        <v>32</v>
      </c>
      <c r="N291" s="3" t="s">
        <v>32</v>
      </c>
      <c r="O291" s="5"/>
      <c r="P291" s="3" t="s">
        <v>22</v>
      </c>
      <c r="Q291" s="7"/>
      <c r="R291" s="7"/>
    </row>
    <row r="292" spans="1:18" ht="51" x14ac:dyDescent="0.25">
      <c r="A292" s="3" t="s">
        <v>18</v>
      </c>
      <c r="B292" s="3">
        <v>2013</v>
      </c>
      <c r="C292" s="3" t="s">
        <v>19</v>
      </c>
      <c r="D292" s="3" t="str">
        <f>"327 / 2013"</f>
        <v>327 / 2013</v>
      </c>
      <c r="E292" s="4">
        <v>41403</v>
      </c>
      <c r="F292" s="3" t="s">
        <v>693</v>
      </c>
      <c r="G292" s="5"/>
      <c r="H292" s="3" t="s">
        <v>694</v>
      </c>
      <c r="I292" s="3" t="str">
        <f t="shared" si="16"/>
        <v>10 / 30-04-2013</v>
      </c>
      <c r="J292" s="4">
        <v>41394</v>
      </c>
      <c r="K292" s="6">
        <v>0.64583333333333337</v>
      </c>
      <c r="L292" s="3">
        <v>19</v>
      </c>
      <c r="M292" s="3" t="s">
        <v>132</v>
      </c>
      <c r="N292" s="3" t="s">
        <v>132</v>
      </c>
      <c r="O292" s="5"/>
      <c r="P292" s="3" t="s">
        <v>22</v>
      </c>
      <c r="Q292" s="7"/>
      <c r="R292" s="7"/>
    </row>
    <row r="293" spans="1:18" ht="51" x14ac:dyDescent="0.25">
      <c r="A293" s="3" t="s">
        <v>18</v>
      </c>
      <c r="B293" s="3">
        <v>2013</v>
      </c>
      <c r="C293" s="3" t="s">
        <v>19</v>
      </c>
      <c r="D293" s="3" t="str">
        <f>"328 / 2013"</f>
        <v>328 / 2013</v>
      </c>
      <c r="E293" s="4">
        <v>41403</v>
      </c>
      <c r="F293" s="3" t="s">
        <v>695</v>
      </c>
      <c r="G293" s="5"/>
      <c r="H293" s="3" t="s">
        <v>696</v>
      </c>
      <c r="I293" s="3" t="str">
        <f t="shared" si="16"/>
        <v>10 / 30-04-2013</v>
      </c>
      <c r="J293" s="4">
        <v>41394</v>
      </c>
      <c r="K293" s="6">
        <v>0.64583333333333337</v>
      </c>
      <c r="L293" s="3">
        <v>19</v>
      </c>
      <c r="M293" s="3" t="s">
        <v>132</v>
      </c>
      <c r="N293" s="3" t="s">
        <v>132</v>
      </c>
      <c r="O293" s="5"/>
      <c r="P293" s="3" t="s">
        <v>22</v>
      </c>
      <c r="Q293" s="7"/>
      <c r="R293" s="7"/>
    </row>
    <row r="294" spans="1:18" ht="51" x14ac:dyDescent="0.25">
      <c r="A294" s="3" t="s">
        <v>18</v>
      </c>
      <c r="B294" s="3">
        <v>2013</v>
      </c>
      <c r="C294" s="3" t="s">
        <v>19</v>
      </c>
      <c r="D294" s="3" t="str">
        <f>"329 / 2013"</f>
        <v>329 / 2013</v>
      </c>
      <c r="E294" s="4">
        <v>41402</v>
      </c>
      <c r="F294" s="3" t="s">
        <v>697</v>
      </c>
      <c r="G294" s="5"/>
      <c r="H294" s="3" t="s">
        <v>698</v>
      </c>
      <c r="I294" s="3" t="str">
        <f t="shared" si="16"/>
        <v>10 / 30-04-2013</v>
      </c>
      <c r="J294" s="4">
        <v>41394</v>
      </c>
      <c r="K294" s="6">
        <v>0.64583333333333337</v>
      </c>
      <c r="L294" s="3">
        <v>20</v>
      </c>
      <c r="M294" s="3" t="s">
        <v>32</v>
      </c>
      <c r="N294" s="3" t="s">
        <v>32</v>
      </c>
      <c r="O294" s="5"/>
      <c r="P294" s="3" t="s">
        <v>22</v>
      </c>
      <c r="Q294" s="7"/>
      <c r="R294" s="7"/>
    </row>
    <row r="295" spans="1:18" ht="76.5" x14ac:dyDescent="0.25">
      <c r="A295" s="3" t="s">
        <v>18</v>
      </c>
      <c r="B295" s="3">
        <v>2013</v>
      </c>
      <c r="C295" s="3" t="s">
        <v>19</v>
      </c>
      <c r="D295" s="3" t="str">
        <f>"33/2013"</f>
        <v>33/2013</v>
      </c>
      <c r="E295" s="4">
        <v>41297</v>
      </c>
      <c r="F295" s="3" t="s">
        <v>699</v>
      </c>
      <c r="G295" s="5"/>
      <c r="H295" s="3" t="s">
        <v>700</v>
      </c>
      <c r="I295" s="3" t="str">
        <f>"3/23-01-2013"</f>
        <v>3/23-01-2013</v>
      </c>
      <c r="J295" s="4">
        <v>41297</v>
      </c>
      <c r="K295" s="6">
        <v>0.8125</v>
      </c>
      <c r="L295" s="3">
        <v>24</v>
      </c>
      <c r="M295" s="3" t="s">
        <v>62</v>
      </c>
      <c r="N295" s="3" t="s">
        <v>62</v>
      </c>
      <c r="O295" s="5"/>
      <c r="P295" s="3" t="s">
        <v>22</v>
      </c>
      <c r="Q295" s="7"/>
      <c r="R295" s="7"/>
    </row>
    <row r="296" spans="1:18" ht="51" x14ac:dyDescent="0.25">
      <c r="A296" s="3" t="s">
        <v>18</v>
      </c>
      <c r="B296" s="3">
        <v>2013</v>
      </c>
      <c r="C296" s="3" t="s">
        <v>19</v>
      </c>
      <c r="D296" s="3" t="str">
        <f>"330 / 2013"</f>
        <v>330 / 2013</v>
      </c>
      <c r="E296" s="4">
        <v>41402</v>
      </c>
      <c r="F296" s="3" t="s">
        <v>701</v>
      </c>
      <c r="G296" s="5"/>
      <c r="H296" s="3" t="s">
        <v>702</v>
      </c>
      <c r="I296" s="3" t="str">
        <f>"10 / 30-04-2013"</f>
        <v>10 / 30-04-2013</v>
      </c>
      <c r="J296" s="4">
        <v>41394</v>
      </c>
      <c r="K296" s="6">
        <v>0.64583333333333337</v>
      </c>
      <c r="L296" s="3">
        <v>21</v>
      </c>
      <c r="M296" s="3" t="s">
        <v>32</v>
      </c>
      <c r="N296" s="3" t="s">
        <v>32</v>
      </c>
      <c r="O296" s="5"/>
      <c r="P296" s="3" t="s">
        <v>22</v>
      </c>
      <c r="Q296" s="7"/>
      <c r="R296" s="7"/>
    </row>
    <row r="297" spans="1:18" ht="51" x14ac:dyDescent="0.25">
      <c r="A297" s="3" t="s">
        <v>18</v>
      </c>
      <c r="B297" s="3">
        <v>2013</v>
      </c>
      <c r="C297" s="3" t="s">
        <v>19</v>
      </c>
      <c r="D297" s="3" t="str">
        <f>"331 / 2013"</f>
        <v>331 / 2013</v>
      </c>
      <c r="E297" s="4">
        <v>41402</v>
      </c>
      <c r="F297" s="3" t="s">
        <v>703</v>
      </c>
      <c r="G297" s="5"/>
      <c r="H297" s="3" t="s">
        <v>704</v>
      </c>
      <c r="I297" s="3" t="str">
        <f>"10 / 30-04-2013"</f>
        <v>10 / 30-04-2013</v>
      </c>
      <c r="J297" s="4">
        <v>41394</v>
      </c>
      <c r="K297" s="6">
        <v>0.64583333333333337</v>
      </c>
      <c r="L297" s="3">
        <v>21</v>
      </c>
      <c r="M297" s="3" t="s">
        <v>32</v>
      </c>
      <c r="N297" s="3" t="s">
        <v>32</v>
      </c>
      <c r="O297" s="5"/>
      <c r="P297" s="3" t="s">
        <v>22</v>
      </c>
      <c r="Q297" s="7"/>
      <c r="R297" s="7"/>
    </row>
    <row r="298" spans="1:18" ht="76.5" x14ac:dyDescent="0.25">
      <c r="A298" s="3" t="s">
        <v>18</v>
      </c>
      <c r="B298" s="3">
        <v>2013</v>
      </c>
      <c r="C298" s="3" t="s">
        <v>19</v>
      </c>
      <c r="D298" s="3" t="str">
        <f>"332/ 2013"</f>
        <v>332/ 2013</v>
      </c>
      <c r="E298" s="4">
        <v>41402</v>
      </c>
      <c r="F298" s="3" t="s">
        <v>705</v>
      </c>
      <c r="G298" s="5"/>
      <c r="H298" s="3" t="s">
        <v>706</v>
      </c>
      <c r="I298" s="3" t="str">
        <f>"10 / 30-04-2013"</f>
        <v>10 / 30-04-2013</v>
      </c>
      <c r="J298" s="4">
        <v>41394</v>
      </c>
      <c r="K298" s="6">
        <v>0.64583333333333337</v>
      </c>
      <c r="L298" s="3">
        <v>21</v>
      </c>
      <c r="M298" s="3" t="s">
        <v>132</v>
      </c>
      <c r="N298" s="3" t="s">
        <v>132</v>
      </c>
      <c r="O298" s="5"/>
      <c r="P298" s="3" t="s">
        <v>22</v>
      </c>
      <c r="Q298" s="7"/>
      <c r="R298" s="7"/>
    </row>
    <row r="299" spans="1:18" ht="76.5" x14ac:dyDescent="0.25">
      <c r="A299" s="3" t="s">
        <v>18</v>
      </c>
      <c r="B299" s="3">
        <v>2013</v>
      </c>
      <c r="C299" s="3" t="s">
        <v>19</v>
      </c>
      <c r="D299" s="3" t="str">
        <f>"333/ 2013"</f>
        <v>333/ 2013</v>
      </c>
      <c r="E299" s="4">
        <v>41402</v>
      </c>
      <c r="F299" s="3" t="s">
        <v>707</v>
      </c>
      <c r="G299" s="5"/>
      <c r="H299" s="3" t="s">
        <v>708</v>
      </c>
      <c r="I299" s="3" t="str">
        <f>"10 / 30-04-2013"</f>
        <v>10 / 30-04-2013</v>
      </c>
      <c r="J299" s="4">
        <v>41394</v>
      </c>
      <c r="K299" s="6">
        <v>0.64583333333333337</v>
      </c>
      <c r="L299" s="3">
        <v>21</v>
      </c>
      <c r="M299" s="3" t="s">
        <v>132</v>
      </c>
      <c r="N299" s="3" t="s">
        <v>132</v>
      </c>
      <c r="O299" s="5"/>
      <c r="P299" s="3" t="s">
        <v>22</v>
      </c>
      <c r="Q299" s="7"/>
      <c r="R299" s="7"/>
    </row>
    <row r="300" spans="1:18" ht="89.25" x14ac:dyDescent="0.25">
      <c r="A300" s="3" t="s">
        <v>18</v>
      </c>
      <c r="B300" s="3">
        <v>2013</v>
      </c>
      <c r="C300" s="3" t="s">
        <v>19</v>
      </c>
      <c r="D300" s="3" t="str">
        <f>"334 / 2013"</f>
        <v>334 / 2013</v>
      </c>
      <c r="E300" s="4">
        <v>41403</v>
      </c>
      <c r="F300" s="3" t="s">
        <v>709</v>
      </c>
      <c r="G300" s="5"/>
      <c r="H300" s="3" t="s">
        <v>710</v>
      </c>
      <c r="I300" s="3" t="str">
        <f>"11 / 08-05-2013"</f>
        <v>11 / 08-05-2013</v>
      </c>
      <c r="J300" s="4">
        <v>41402</v>
      </c>
      <c r="K300" s="6">
        <v>0.58333333333333337</v>
      </c>
      <c r="L300" s="5"/>
      <c r="M300" s="5"/>
      <c r="N300" s="5"/>
      <c r="O300" s="5"/>
      <c r="P300" s="3" t="s">
        <v>114</v>
      </c>
      <c r="Q300" s="7"/>
      <c r="R300" s="7"/>
    </row>
    <row r="301" spans="1:18" ht="63.75" x14ac:dyDescent="0.25">
      <c r="A301" s="3" t="s">
        <v>18</v>
      </c>
      <c r="B301" s="3">
        <v>2013</v>
      </c>
      <c r="C301" s="3" t="s">
        <v>19</v>
      </c>
      <c r="D301" s="3" t="str">
        <f>"335 / 2013"</f>
        <v>335 / 2013</v>
      </c>
      <c r="E301" s="4">
        <v>41443</v>
      </c>
      <c r="F301" s="3" t="s">
        <v>711</v>
      </c>
      <c r="G301" s="5"/>
      <c r="H301" s="3" t="s">
        <v>712</v>
      </c>
      <c r="I301" s="3" t="str">
        <f>"12 / 22-05-2013"</f>
        <v>12 / 22-05-2013</v>
      </c>
      <c r="J301" s="4">
        <v>41416</v>
      </c>
      <c r="K301" s="6">
        <v>0.83333333333333337</v>
      </c>
      <c r="L301" s="3">
        <v>1</v>
      </c>
      <c r="M301" s="3" t="s">
        <v>56</v>
      </c>
      <c r="N301" s="3" t="s">
        <v>56</v>
      </c>
      <c r="O301" s="5"/>
      <c r="P301" s="3" t="s">
        <v>22</v>
      </c>
      <c r="Q301" s="7"/>
      <c r="R301" s="7"/>
    </row>
    <row r="302" spans="1:18" ht="89.25" x14ac:dyDescent="0.25">
      <c r="A302" s="3" t="s">
        <v>18</v>
      </c>
      <c r="B302" s="3">
        <v>2013</v>
      </c>
      <c r="C302" s="3" t="s">
        <v>19</v>
      </c>
      <c r="D302" s="3" t="str">
        <f>"336 / 2013"</f>
        <v>336 / 2013</v>
      </c>
      <c r="E302" s="4">
        <v>41422</v>
      </c>
      <c r="F302" s="3" t="s">
        <v>713</v>
      </c>
      <c r="G302" s="5"/>
      <c r="H302" s="3" t="s">
        <v>714</v>
      </c>
      <c r="I302" s="3" t="str">
        <f>"12 / 22-05-2013"</f>
        <v>12 / 22-05-2013</v>
      </c>
      <c r="J302" s="4">
        <v>41416</v>
      </c>
      <c r="K302" s="6">
        <v>0.83333333333333337</v>
      </c>
      <c r="L302" s="3">
        <v>2</v>
      </c>
      <c r="M302" s="3" t="s">
        <v>715</v>
      </c>
      <c r="N302" s="3" t="s">
        <v>715</v>
      </c>
      <c r="O302" s="5"/>
      <c r="P302" s="3" t="s">
        <v>22</v>
      </c>
      <c r="Q302" s="7"/>
      <c r="R302" s="7"/>
    </row>
    <row r="303" spans="1:18" ht="51" x14ac:dyDescent="0.25">
      <c r="A303" s="3" t="s">
        <v>18</v>
      </c>
      <c r="B303" s="3">
        <v>2013</v>
      </c>
      <c r="C303" s="3" t="s">
        <v>19</v>
      </c>
      <c r="D303" s="3" t="str">
        <f>"337 / 2013"</f>
        <v>337 / 2013</v>
      </c>
      <c r="E303" s="4">
        <v>41418</v>
      </c>
      <c r="F303" s="3" t="s">
        <v>716</v>
      </c>
      <c r="G303" s="5"/>
      <c r="H303" s="3" t="s">
        <v>717</v>
      </c>
      <c r="I303" s="3" t="str">
        <f>"12 / 22-05-2013"</f>
        <v>12 / 22-05-2013</v>
      </c>
      <c r="J303" s="4">
        <v>41416</v>
      </c>
      <c r="K303" s="6">
        <v>0.83333333333333337</v>
      </c>
      <c r="L303" s="3">
        <v>3</v>
      </c>
      <c r="M303" s="3" t="s">
        <v>333</v>
      </c>
      <c r="N303" s="3" t="s">
        <v>333</v>
      </c>
      <c r="O303" s="5"/>
      <c r="P303" s="3" t="s">
        <v>22</v>
      </c>
      <c r="Q303" s="7"/>
      <c r="R303" s="7"/>
    </row>
    <row r="304" spans="1:18" ht="38.25" x14ac:dyDescent="0.25">
      <c r="A304" s="3" t="s">
        <v>18</v>
      </c>
      <c r="B304" s="3">
        <v>2013</v>
      </c>
      <c r="C304" s="3" t="s">
        <v>19</v>
      </c>
      <c r="D304" s="3" t="str">
        <f>"338 / 2013"</f>
        <v>338 / 2013</v>
      </c>
      <c r="E304" s="4">
        <v>41418</v>
      </c>
      <c r="F304" s="3" t="s">
        <v>718</v>
      </c>
      <c r="G304" s="5"/>
      <c r="H304" s="3" t="s">
        <v>719</v>
      </c>
      <c r="I304" s="3" t="str">
        <f>"12 / 22-05-2013"</f>
        <v>12 / 22-05-2013</v>
      </c>
      <c r="J304" s="4">
        <v>41416</v>
      </c>
      <c r="K304" s="6">
        <v>0.83333333333333337</v>
      </c>
      <c r="L304" s="3">
        <v>4</v>
      </c>
      <c r="M304" s="3" t="s">
        <v>56</v>
      </c>
      <c r="N304" s="3" t="s">
        <v>56</v>
      </c>
      <c r="O304" s="5"/>
      <c r="P304" s="3" t="s">
        <v>22</v>
      </c>
      <c r="Q304" s="7"/>
      <c r="R304" s="7"/>
    </row>
    <row r="305" spans="1:18" ht="114.75" x14ac:dyDescent="0.25">
      <c r="A305" s="3" t="s">
        <v>18</v>
      </c>
      <c r="B305" s="3">
        <v>2013</v>
      </c>
      <c r="C305" s="3" t="s">
        <v>19</v>
      </c>
      <c r="D305" s="3" t="str">
        <f>"339 / 2013"</f>
        <v>339 / 2013</v>
      </c>
      <c r="E305" s="4">
        <v>41428</v>
      </c>
      <c r="F305" s="3" t="s">
        <v>720</v>
      </c>
      <c r="G305" s="5"/>
      <c r="H305" s="3" t="s">
        <v>721</v>
      </c>
      <c r="I305" s="3" t="str">
        <f>"12 / 22-05-2013"</f>
        <v>12 / 22-05-2013</v>
      </c>
      <c r="J305" s="4">
        <v>41416</v>
      </c>
      <c r="K305" s="6">
        <v>0.83333333333333337</v>
      </c>
      <c r="L305" s="3">
        <v>5</v>
      </c>
      <c r="M305" s="3" t="s">
        <v>330</v>
      </c>
      <c r="N305" s="3" t="s">
        <v>330</v>
      </c>
      <c r="O305" s="5"/>
      <c r="P305" s="3" t="s">
        <v>22</v>
      </c>
      <c r="Q305" s="7"/>
      <c r="R305" s="7"/>
    </row>
    <row r="306" spans="1:18" ht="63.75" x14ac:dyDescent="0.25">
      <c r="A306" s="3" t="s">
        <v>18</v>
      </c>
      <c r="B306" s="3">
        <v>2013</v>
      </c>
      <c r="C306" s="3" t="s">
        <v>19</v>
      </c>
      <c r="D306" s="3" t="str">
        <f>"34/2013"</f>
        <v>34/2013</v>
      </c>
      <c r="E306" s="4">
        <v>41297</v>
      </c>
      <c r="F306" s="3" t="s">
        <v>722</v>
      </c>
      <c r="G306" s="5"/>
      <c r="H306" s="3" t="s">
        <v>723</v>
      </c>
      <c r="I306" s="3" t="str">
        <f>"3/23-01-2013"</f>
        <v>3/23-01-2013</v>
      </c>
      <c r="J306" s="4">
        <v>41297</v>
      </c>
      <c r="K306" s="6">
        <v>0.8125</v>
      </c>
      <c r="L306" s="3">
        <v>24</v>
      </c>
      <c r="M306" s="3" t="s">
        <v>62</v>
      </c>
      <c r="N306" s="3" t="s">
        <v>62</v>
      </c>
      <c r="O306" s="5"/>
      <c r="P306" s="3" t="s">
        <v>22</v>
      </c>
      <c r="Q306" s="7"/>
      <c r="R306" s="7"/>
    </row>
    <row r="307" spans="1:18" ht="127.5" x14ac:dyDescent="0.25">
      <c r="A307" s="3" t="s">
        <v>18</v>
      </c>
      <c r="B307" s="3">
        <v>2013</v>
      </c>
      <c r="C307" s="3" t="s">
        <v>19</v>
      </c>
      <c r="D307" s="3" t="str">
        <f>"340 / 2013"</f>
        <v>340 / 2013</v>
      </c>
      <c r="E307" s="4">
        <v>41421</v>
      </c>
      <c r="F307" s="3" t="s">
        <v>724</v>
      </c>
      <c r="G307" s="5"/>
      <c r="H307" s="3" t="s">
        <v>725</v>
      </c>
      <c r="I307" s="3" t="str">
        <f t="shared" ref="I307:I316" si="17">"12 / 22-05-2013"</f>
        <v>12 / 22-05-2013</v>
      </c>
      <c r="J307" s="4">
        <v>41416</v>
      </c>
      <c r="K307" s="6">
        <v>0.83333333333333337</v>
      </c>
      <c r="L307" s="3">
        <v>6</v>
      </c>
      <c r="M307" s="3" t="s">
        <v>324</v>
      </c>
      <c r="N307" s="3" t="s">
        <v>324</v>
      </c>
      <c r="O307" s="5"/>
      <c r="P307" s="3" t="s">
        <v>22</v>
      </c>
      <c r="Q307" s="7"/>
      <c r="R307" s="7"/>
    </row>
    <row r="308" spans="1:18" ht="153" x14ac:dyDescent="0.25">
      <c r="A308" s="3" t="s">
        <v>18</v>
      </c>
      <c r="B308" s="3">
        <v>2013</v>
      </c>
      <c r="C308" s="3" t="s">
        <v>19</v>
      </c>
      <c r="D308" s="3" t="str">
        <f>"341 / 2013"</f>
        <v>341 / 2013</v>
      </c>
      <c r="E308" s="4">
        <v>41418</v>
      </c>
      <c r="F308" s="3" t="s">
        <v>726</v>
      </c>
      <c r="G308" s="5"/>
      <c r="H308" s="3" t="s">
        <v>727</v>
      </c>
      <c r="I308" s="3" t="str">
        <f t="shared" si="17"/>
        <v>12 / 22-05-2013</v>
      </c>
      <c r="J308" s="4">
        <v>41416</v>
      </c>
      <c r="K308" s="6">
        <v>0.83333333333333337</v>
      </c>
      <c r="L308" s="3">
        <v>7</v>
      </c>
      <c r="M308" s="3" t="s">
        <v>728</v>
      </c>
      <c r="N308" s="3" t="s">
        <v>729</v>
      </c>
      <c r="O308" s="5"/>
      <c r="P308" s="3" t="s">
        <v>22</v>
      </c>
      <c r="Q308" s="7"/>
      <c r="R308" s="7"/>
    </row>
    <row r="309" spans="1:18" ht="153" x14ac:dyDescent="0.25">
      <c r="A309" s="3" t="s">
        <v>18</v>
      </c>
      <c r="B309" s="3">
        <v>2013</v>
      </c>
      <c r="C309" s="3" t="s">
        <v>19</v>
      </c>
      <c r="D309" s="3" t="str">
        <f>"342 / 2013"</f>
        <v>342 / 2013</v>
      </c>
      <c r="E309" s="4">
        <v>41418</v>
      </c>
      <c r="F309" s="3" t="s">
        <v>730</v>
      </c>
      <c r="G309" s="5"/>
      <c r="H309" s="3" t="s">
        <v>731</v>
      </c>
      <c r="I309" s="3" t="str">
        <f t="shared" si="17"/>
        <v>12 / 22-05-2013</v>
      </c>
      <c r="J309" s="4">
        <v>41416</v>
      </c>
      <c r="K309" s="6">
        <v>0.83333333333333337</v>
      </c>
      <c r="L309" s="3">
        <v>7</v>
      </c>
      <c r="M309" s="3" t="s">
        <v>728</v>
      </c>
      <c r="N309" s="3" t="s">
        <v>729</v>
      </c>
      <c r="O309" s="5"/>
      <c r="P309" s="3" t="s">
        <v>22</v>
      </c>
      <c r="Q309" s="7"/>
      <c r="R309" s="7"/>
    </row>
    <row r="310" spans="1:18" ht="114.75" x14ac:dyDescent="0.25">
      <c r="A310" s="3" t="s">
        <v>18</v>
      </c>
      <c r="B310" s="3">
        <v>2013</v>
      </c>
      <c r="C310" s="3" t="s">
        <v>19</v>
      </c>
      <c r="D310" s="3" t="str">
        <f>"343 / 2013"</f>
        <v>343 / 2013</v>
      </c>
      <c r="E310" s="4">
        <v>41418</v>
      </c>
      <c r="F310" s="3" t="s">
        <v>732</v>
      </c>
      <c r="G310" s="5"/>
      <c r="H310" s="3" t="s">
        <v>733</v>
      </c>
      <c r="I310" s="3" t="str">
        <f t="shared" si="17"/>
        <v>12 / 22-05-2013</v>
      </c>
      <c r="J310" s="4">
        <v>41416</v>
      </c>
      <c r="K310" s="6">
        <v>0.83333333333333337</v>
      </c>
      <c r="L310" s="3">
        <v>8</v>
      </c>
      <c r="M310" s="3" t="s">
        <v>324</v>
      </c>
      <c r="N310" s="3" t="s">
        <v>324</v>
      </c>
      <c r="O310" s="5"/>
      <c r="P310" s="3" t="s">
        <v>22</v>
      </c>
      <c r="Q310" s="7"/>
      <c r="R310" s="7"/>
    </row>
    <row r="311" spans="1:18" ht="76.5" x14ac:dyDescent="0.25">
      <c r="A311" s="3" t="s">
        <v>18</v>
      </c>
      <c r="B311" s="3">
        <v>2013</v>
      </c>
      <c r="C311" s="3" t="s">
        <v>19</v>
      </c>
      <c r="D311" s="3" t="str">
        <f>"344 / 2013"</f>
        <v>344 / 2013</v>
      </c>
      <c r="E311" s="4">
        <v>41421</v>
      </c>
      <c r="F311" s="3" t="s">
        <v>734</v>
      </c>
      <c r="G311" s="5"/>
      <c r="H311" s="3" t="s">
        <v>735</v>
      </c>
      <c r="I311" s="3" t="str">
        <f t="shared" si="17"/>
        <v>12 / 22-05-2013</v>
      </c>
      <c r="J311" s="4">
        <v>41416</v>
      </c>
      <c r="K311" s="6">
        <v>0.83333333333333337</v>
      </c>
      <c r="L311" s="3">
        <v>9</v>
      </c>
      <c r="M311" s="3" t="s">
        <v>542</v>
      </c>
      <c r="N311" s="3" t="s">
        <v>736</v>
      </c>
      <c r="O311" s="5"/>
      <c r="P311" s="3" t="s">
        <v>22</v>
      </c>
      <c r="Q311" s="7"/>
      <c r="R311" s="7"/>
    </row>
    <row r="312" spans="1:18" ht="76.5" x14ac:dyDescent="0.25">
      <c r="A312" s="3" t="s">
        <v>18</v>
      </c>
      <c r="B312" s="3">
        <v>2013</v>
      </c>
      <c r="C312" s="3" t="s">
        <v>19</v>
      </c>
      <c r="D312" s="3" t="str">
        <f>"345 / 2013"</f>
        <v>345 / 2013</v>
      </c>
      <c r="E312" s="4">
        <v>41421</v>
      </c>
      <c r="F312" s="3" t="s">
        <v>737</v>
      </c>
      <c r="G312" s="5"/>
      <c r="H312" s="3" t="s">
        <v>738</v>
      </c>
      <c r="I312" s="3" t="str">
        <f t="shared" si="17"/>
        <v>12 / 22-05-2013</v>
      </c>
      <c r="J312" s="4">
        <v>41416</v>
      </c>
      <c r="K312" s="6">
        <v>0.83333333333333337</v>
      </c>
      <c r="L312" s="3">
        <v>9</v>
      </c>
      <c r="M312" s="3" t="s">
        <v>542</v>
      </c>
      <c r="N312" s="3" t="s">
        <v>739</v>
      </c>
      <c r="O312" s="5"/>
      <c r="P312" s="3" t="s">
        <v>22</v>
      </c>
      <c r="Q312" s="7"/>
      <c r="R312" s="7"/>
    </row>
    <row r="313" spans="1:18" ht="38.25" x14ac:dyDescent="0.25">
      <c r="A313" s="3" t="s">
        <v>18</v>
      </c>
      <c r="B313" s="3">
        <v>2013</v>
      </c>
      <c r="C313" s="3" t="s">
        <v>19</v>
      </c>
      <c r="D313" s="3" t="str">
        <f>"346 / 2013"</f>
        <v>346 / 2013</v>
      </c>
      <c r="E313" s="4">
        <v>41422</v>
      </c>
      <c r="F313" s="3" t="s">
        <v>740</v>
      </c>
      <c r="G313" s="5"/>
      <c r="H313" s="3" t="s">
        <v>741</v>
      </c>
      <c r="I313" s="3" t="str">
        <f t="shared" si="17"/>
        <v>12 / 22-05-2013</v>
      </c>
      <c r="J313" s="4">
        <v>41416</v>
      </c>
      <c r="K313" s="6">
        <v>0.83333333333333337</v>
      </c>
      <c r="L313" s="3">
        <v>10</v>
      </c>
      <c r="M313" s="3" t="s">
        <v>50</v>
      </c>
      <c r="N313" s="3" t="s">
        <v>50</v>
      </c>
      <c r="O313" s="5"/>
      <c r="P313" s="3" t="s">
        <v>22</v>
      </c>
      <c r="Q313" s="7"/>
      <c r="R313" s="7"/>
    </row>
    <row r="314" spans="1:18" ht="51" x14ac:dyDescent="0.25">
      <c r="A314" s="3" t="s">
        <v>18</v>
      </c>
      <c r="B314" s="3">
        <v>2013</v>
      </c>
      <c r="C314" s="3" t="s">
        <v>19</v>
      </c>
      <c r="D314" s="3" t="str">
        <f>"347 / 2013"</f>
        <v>347 / 2013</v>
      </c>
      <c r="E314" s="4">
        <v>41422</v>
      </c>
      <c r="F314" s="3" t="s">
        <v>742</v>
      </c>
      <c r="G314" s="5"/>
      <c r="H314" s="3" t="s">
        <v>743</v>
      </c>
      <c r="I314" s="3" t="str">
        <f t="shared" si="17"/>
        <v>12 / 22-05-2013</v>
      </c>
      <c r="J314" s="4">
        <v>41416</v>
      </c>
      <c r="K314" s="6">
        <v>0.83333333333333337</v>
      </c>
      <c r="L314" s="3">
        <v>10</v>
      </c>
      <c r="M314" s="3" t="s">
        <v>50</v>
      </c>
      <c r="N314" s="3" t="s">
        <v>50</v>
      </c>
      <c r="O314" s="5"/>
      <c r="P314" s="3" t="s">
        <v>22</v>
      </c>
      <c r="Q314" s="7"/>
      <c r="R314" s="7"/>
    </row>
    <row r="315" spans="1:18" ht="89.25" x14ac:dyDescent="0.25">
      <c r="A315" s="3" t="s">
        <v>18</v>
      </c>
      <c r="B315" s="3">
        <v>2013</v>
      </c>
      <c r="C315" s="3" t="s">
        <v>19</v>
      </c>
      <c r="D315" s="3" t="str">
        <f>"348 / 2013"</f>
        <v>348 / 2013</v>
      </c>
      <c r="E315" s="4">
        <v>41421</v>
      </c>
      <c r="F315" s="3" t="s">
        <v>744</v>
      </c>
      <c r="G315" s="5"/>
      <c r="H315" s="3" t="s">
        <v>745</v>
      </c>
      <c r="I315" s="3" t="str">
        <f t="shared" si="17"/>
        <v>12 / 22-05-2013</v>
      </c>
      <c r="J315" s="4">
        <v>41416</v>
      </c>
      <c r="K315" s="6">
        <v>0.83333333333333337</v>
      </c>
      <c r="L315" s="3">
        <v>11</v>
      </c>
      <c r="M315" s="3" t="s">
        <v>324</v>
      </c>
      <c r="N315" s="3" t="s">
        <v>324</v>
      </c>
      <c r="O315" s="5"/>
      <c r="P315" s="3" t="s">
        <v>22</v>
      </c>
      <c r="Q315" s="7"/>
      <c r="R315" s="7"/>
    </row>
    <row r="316" spans="1:18" ht="89.25" x14ac:dyDescent="0.25">
      <c r="A316" s="3" t="s">
        <v>18</v>
      </c>
      <c r="B316" s="3">
        <v>2013</v>
      </c>
      <c r="C316" s="3" t="s">
        <v>19</v>
      </c>
      <c r="D316" s="3" t="str">
        <f>"349 / 2013"</f>
        <v>349 / 2013</v>
      </c>
      <c r="E316" s="4">
        <v>41429</v>
      </c>
      <c r="F316" s="3" t="s">
        <v>746</v>
      </c>
      <c r="G316" s="5"/>
      <c r="H316" s="3" t="s">
        <v>747</v>
      </c>
      <c r="I316" s="3" t="str">
        <f t="shared" si="17"/>
        <v>12 / 22-05-2013</v>
      </c>
      <c r="J316" s="4">
        <v>41416</v>
      </c>
      <c r="K316" s="6">
        <v>0.83333333333333337</v>
      </c>
      <c r="L316" s="3">
        <v>12</v>
      </c>
      <c r="M316" s="3" t="s">
        <v>572</v>
      </c>
      <c r="N316" s="3" t="s">
        <v>572</v>
      </c>
      <c r="O316" s="5"/>
      <c r="P316" s="3" t="s">
        <v>22</v>
      </c>
      <c r="Q316" s="7"/>
      <c r="R316" s="7"/>
    </row>
    <row r="317" spans="1:18" ht="76.5" x14ac:dyDescent="0.25">
      <c r="A317" s="3" t="s">
        <v>18</v>
      </c>
      <c r="B317" s="3">
        <v>2013</v>
      </c>
      <c r="C317" s="3" t="s">
        <v>19</v>
      </c>
      <c r="D317" s="3" t="str">
        <f>"35/2013"</f>
        <v>35/2013</v>
      </c>
      <c r="E317" s="4">
        <v>41297</v>
      </c>
      <c r="F317" s="3" t="s">
        <v>748</v>
      </c>
      <c r="G317" s="5"/>
      <c r="H317" s="3" t="s">
        <v>749</v>
      </c>
      <c r="I317" s="3" t="str">
        <f>"3/23-01-2013"</f>
        <v>3/23-01-2013</v>
      </c>
      <c r="J317" s="4">
        <v>41297</v>
      </c>
      <c r="K317" s="6">
        <v>0.8125</v>
      </c>
      <c r="L317" s="3">
        <v>24</v>
      </c>
      <c r="M317" s="3" t="s">
        <v>62</v>
      </c>
      <c r="N317" s="3" t="s">
        <v>62</v>
      </c>
      <c r="O317" s="5"/>
      <c r="P317" s="3" t="s">
        <v>22</v>
      </c>
      <c r="Q317" s="7"/>
      <c r="R317" s="7"/>
    </row>
    <row r="318" spans="1:18" ht="76.5" x14ac:dyDescent="0.25">
      <c r="A318" s="3" t="s">
        <v>18</v>
      </c>
      <c r="B318" s="3">
        <v>2013</v>
      </c>
      <c r="C318" s="3" t="s">
        <v>19</v>
      </c>
      <c r="D318" s="3" t="str">
        <f>"350 / 2013"</f>
        <v>350 / 2013</v>
      </c>
      <c r="E318" s="4">
        <v>41429</v>
      </c>
      <c r="F318" s="3" t="s">
        <v>750</v>
      </c>
      <c r="G318" s="5"/>
      <c r="H318" s="3" t="s">
        <v>751</v>
      </c>
      <c r="I318" s="3" t="str">
        <f>"12 / 22-05-2013"</f>
        <v>12 / 22-05-2013</v>
      </c>
      <c r="J318" s="4">
        <v>41416</v>
      </c>
      <c r="K318" s="6">
        <v>0.83333333333333337</v>
      </c>
      <c r="L318" s="3">
        <v>13</v>
      </c>
      <c r="M318" s="3" t="s">
        <v>552</v>
      </c>
      <c r="N318" s="3" t="s">
        <v>552</v>
      </c>
      <c r="O318" s="5"/>
      <c r="P318" s="3" t="s">
        <v>22</v>
      </c>
      <c r="Q318" s="7"/>
      <c r="R318" s="7"/>
    </row>
    <row r="319" spans="1:18" ht="89.25" x14ac:dyDescent="0.25">
      <c r="A319" s="3" t="s">
        <v>18</v>
      </c>
      <c r="B319" s="3">
        <v>2013</v>
      </c>
      <c r="C319" s="3" t="s">
        <v>19</v>
      </c>
      <c r="D319" s="3" t="str">
        <f>"351 / 2013"</f>
        <v>351 / 2013</v>
      </c>
      <c r="E319" s="4">
        <v>41430</v>
      </c>
      <c r="F319" s="3" t="s">
        <v>752</v>
      </c>
      <c r="G319" s="5"/>
      <c r="H319" s="3" t="s">
        <v>753</v>
      </c>
      <c r="I319" s="3" t="str">
        <f>"12 / 22-05-2013"</f>
        <v>12 / 22-05-2013</v>
      </c>
      <c r="J319" s="4">
        <v>41416</v>
      </c>
      <c r="K319" s="6">
        <v>0.83333333333333337</v>
      </c>
      <c r="L319" s="3">
        <v>14</v>
      </c>
      <c r="M319" s="3" t="s">
        <v>754</v>
      </c>
      <c r="N319" s="3" t="s">
        <v>754</v>
      </c>
      <c r="O319" s="5"/>
      <c r="P319" s="3" t="s">
        <v>22</v>
      </c>
      <c r="Q319" s="7"/>
      <c r="R319" s="7"/>
    </row>
    <row r="320" spans="1:18" ht="102" x14ac:dyDescent="0.25">
      <c r="A320" s="3" t="s">
        <v>18</v>
      </c>
      <c r="B320" s="3">
        <v>2013</v>
      </c>
      <c r="C320" s="3" t="s">
        <v>19</v>
      </c>
      <c r="D320" s="3" t="str">
        <f>"352 / 2013"</f>
        <v>352 / 2013</v>
      </c>
      <c r="E320" s="4">
        <v>41421</v>
      </c>
      <c r="F320" s="3" t="s">
        <v>755</v>
      </c>
      <c r="G320" s="5"/>
      <c r="H320" s="3" t="s">
        <v>756</v>
      </c>
      <c r="I320" s="3" t="str">
        <f>"12 / 22-05-2013"</f>
        <v>12 / 22-05-2013</v>
      </c>
      <c r="J320" s="4">
        <v>41416</v>
      </c>
      <c r="K320" s="6">
        <v>0.83333333333333337</v>
      </c>
      <c r="L320" s="3">
        <v>15</v>
      </c>
      <c r="M320" s="3" t="s">
        <v>757</v>
      </c>
      <c r="N320" s="3" t="s">
        <v>757</v>
      </c>
      <c r="O320" s="5"/>
      <c r="P320" s="3" t="s">
        <v>22</v>
      </c>
      <c r="Q320" s="7"/>
      <c r="R320" s="7"/>
    </row>
    <row r="321" spans="1:18" ht="38.25" x14ac:dyDescent="0.25">
      <c r="A321" s="3" t="s">
        <v>18</v>
      </c>
      <c r="B321" s="3">
        <v>2013</v>
      </c>
      <c r="C321" s="3" t="s">
        <v>19</v>
      </c>
      <c r="D321" s="3" t="str">
        <f>"353 / 2013"</f>
        <v>353 / 2013</v>
      </c>
      <c r="E321" s="4">
        <v>41422</v>
      </c>
      <c r="F321" s="3" t="s">
        <v>758</v>
      </c>
      <c r="G321" s="5"/>
      <c r="H321" s="3" t="s">
        <v>759</v>
      </c>
      <c r="I321" s="3" t="str">
        <f>"12 / 22-05-2013"</f>
        <v>12 / 22-05-2013</v>
      </c>
      <c r="J321" s="4">
        <v>41416</v>
      </c>
      <c r="K321" s="6">
        <v>0.83333333333333337</v>
      </c>
      <c r="L321" s="3">
        <v>16</v>
      </c>
      <c r="M321" s="3" t="s">
        <v>442</v>
      </c>
      <c r="N321" s="3" t="s">
        <v>442</v>
      </c>
      <c r="O321" s="5"/>
      <c r="P321" s="3" t="s">
        <v>22</v>
      </c>
      <c r="Q321" s="7"/>
      <c r="R321" s="7"/>
    </row>
    <row r="322" spans="1:18" ht="38.25" x14ac:dyDescent="0.25">
      <c r="A322" s="3" t="s">
        <v>18</v>
      </c>
      <c r="B322" s="3">
        <v>2013</v>
      </c>
      <c r="C322" s="3" t="s">
        <v>19</v>
      </c>
      <c r="D322" s="3" t="str">
        <f>"353/2013"</f>
        <v>353/2013</v>
      </c>
      <c r="E322" s="4">
        <v>41416</v>
      </c>
      <c r="F322" s="3" t="s">
        <v>758</v>
      </c>
      <c r="G322" s="5"/>
      <c r="H322" s="3" t="s">
        <v>760</v>
      </c>
      <c r="I322" s="3" t="str">
        <f>"12/22-05-2013"</f>
        <v>12/22-05-2013</v>
      </c>
      <c r="J322" s="4">
        <v>41416</v>
      </c>
      <c r="K322" s="6">
        <v>0.83333333333333337</v>
      </c>
      <c r="L322" s="3">
        <v>16</v>
      </c>
      <c r="M322" s="3" t="s">
        <v>761</v>
      </c>
      <c r="N322" s="3" t="s">
        <v>761</v>
      </c>
      <c r="O322" s="5"/>
      <c r="P322" s="3" t="s">
        <v>22</v>
      </c>
      <c r="Q322" s="7"/>
      <c r="R322" s="7"/>
    </row>
    <row r="323" spans="1:18" ht="127.5" x14ac:dyDescent="0.25">
      <c r="A323" s="3" t="s">
        <v>18</v>
      </c>
      <c r="B323" s="3">
        <v>2013</v>
      </c>
      <c r="C323" s="3" t="s">
        <v>19</v>
      </c>
      <c r="D323" s="3" t="str">
        <f>"354 / 2013"</f>
        <v>354 / 2013</v>
      </c>
      <c r="E323" s="4">
        <v>41421</v>
      </c>
      <c r="F323" s="3" t="s">
        <v>762</v>
      </c>
      <c r="G323" s="5"/>
      <c r="H323" s="3" t="s">
        <v>763</v>
      </c>
      <c r="I323" s="3" t="str">
        <f>"12 / 22-05-2013"</f>
        <v>12 / 22-05-2013</v>
      </c>
      <c r="J323" s="4">
        <v>41416</v>
      </c>
      <c r="K323" s="6">
        <v>0.83333333333333337</v>
      </c>
      <c r="L323" s="3">
        <v>17</v>
      </c>
      <c r="M323" s="3" t="s">
        <v>572</v>
      </c>
      <c r="N323" s="3" t="s">
        <v>572</v>
      </c>
      <c r="O323" s="5"/>
      <c r="P323" s="3" t="s">
        <v>22</v>
      </c>
      <c r="Q323" s="7"/>
      <c r="R323" s="7"/>
    </row>
    <row r="324" spans="1:18" ht="63.75" x14ac:dyDescent="0.25">
      <c r="A324" s="3" t="s">
        <v>18</v>
      </c>
      <c r="B324" s="3">
        <v>2013</v>
      </c>
      <c r="C324" s="3" t="s">
        <v>19</v>
      </c>
      <c r="D324" s="3" t="str">
        <f>"355 / 2013"</f>
        <v>355 / 2013</v>
      </c>
      <c r="E324" s="4">
        <v>41422</v>
      </c>
      <c r="F324" s="3" t="s">
        <v>764</v>
      </c>
      <c r="G324" s="5"/>
      <c r="H324" s="3" t="s">
        <v>765</v>
      </c>
      <c r="I324" s="3" t="str">
        <f>"12 / 22-05-2013"</f>
        <v>12 / 22-05-2013</v>
      </c>
      <c r="J324" s="4">
        <v>41416</v>
      </c>
      <c r="K324" s="6">
        <v>0.83333333333333337</v>
      </c>
      <c r="L324" s="3">
        <v>18</v>
      </c>
      <c r="M324" s="3" t="s">
        <v>56</v>
      </c>
      <c r="N324" s="3" t="s">
        <v>56</v>
      </c>
      <c r="O324" s="5"/>
      <c r="P324" s="3" t="s">
        <v>22</v>
      </c>
      <c r="Q324" s="7"/>
      <c r="R324" s="7"/>
    </row>
    <row r="325" spans="1:18" ht="51" x14ac:dyDescent="0.25">
      <c r="A325" s="3" t="s">
        <v>18</v>
      </c>
      <c r="B325" s="3">
        <v>2013</v>
      </c>
      <c r="C325" s="3" t="s">
        <v>19</v>
      </c>
      <c r="D325" s="3" t="str">
        <f>"356 / 2013"</f>
        <v>356 / 2013</v>
      </c>
      <c r="E325" s="4">
        <v>41422</v>
      </c>
      <c r="F325" s="3" t="s">
        <v>766</v>
      </c>
      <c r="G325" s="5"/>
      <c r="H325" s="3" t="s">
        <v>767</v>
      </c>
      <c r="I325" s="3" t="str">
        <f>"12 / 22-05-2013"</f>
        <v>12 / 22-05-2013</v>
      </c>
      <c r="J325" s="4">
        <v>41416</v>
      </c>
      <c r="K325" s="6">
        <v>0.83333333333333337</v>
      </c>
      <c r="L325" s="3">
        <v>18</v>
      </c>
      <c r="M325" s="3" t="s">
        <v>56</v>
      </c>
      <c r="N325" s="3" t="s">
        <v>56</v>
      </c>
      <c r="O325" s="5"/>
      <c r="P325" s="3" t="s">
        <v>22</v>
      </c>
      <c r="Q325" s="7"/>
      <c r="R325" s="7"/>
    </row>
    <row r="326" spans="1:18" ht="140.25" x14ac:dyDescent="0.25">
      <c r="A326" s="3" t="s">
        <v>18</v>
      </c>
      <c r="B326" s="3">
        <v>2013</v>
      </c>
      <c r="C326" s="3" t="s">
        <v>19</v>
      </c>
      <c r="D326" s="3" t="str">
        <f>"358 / 2013"</f>
        <v>358 / 2013</v>
      </c>
      <c r="E326" s="4">
        <v>41423</v>
      </c>
      <c r="F326" s="3" t="s">
        <v>768</v>
      </c>
      <c r="G326" s="5"/>
      <c r="H326" s="3" t="s">
        <v>769</v>
      </c>
      <c r="I326" s="3" t="str">
        <f>"12 / 22-05-2013"</f>
        <v>12 / 22-05-2013</v>
      </c>
      <c r="J326" s="4">
        <v>41416</v>
      </c>
      <c r="K326" s="6">
        <v>0.83333333333333337</v>
      </c>
      <c r="L326" s="3">
        <v>18</v>
      </c>
      <c r="M326" s="3" t="s">
        <v>770</v>
      </c>
      <c r="N326" s="3" t="s">
        <v>770</v>
      </c>
      <c r="O326" s="5"/>
      <c r="P326" s="3" t="s">
        <v>22</v>
      </c>
      <c r="Q326" s="7"/>
      <c r="R326" s="7"/>
    </row>
    <row r="327" spans="1:18" ht="140.25" x14ac:dyDescent="0.25">
      <c r="A327" s="3" t="s">
        <v>18</v>
      </c>
      <c r="B327" s="3">
        <v>2013</v>
      </c>
      <c r="C327" s="3" t="s">
        <v>19</v>
      </c>
      <c r="D327" s="3" t="str">
        <f>"359 / 2013"</f>
        <v>359 / 2013</v>
      </c>
      <c r="E327" s="4">
        <v>41423</v>
      </c>
      <c r="F327" s="3" t="s">
        <v>771</v>
      </c>
      <c r="G327" s="5"/>
      <c r="H327" s="3" t="s">
        <v>772</v>
      </c>
      <c r="I327" s="3" t="str">
        <f>"12 / 22-05-2013"</f>
        <v>12 / 22-05-2013</v>
      </c>
      <c r="J327" s="4">
        <v>41416</v>
      </c>
      <c r="K327" s="6">
        <v>0.83333333333333337</v>
      </c>
      <c r="L327" s="3">
        <v>18</v>
      </c>
      <c r="M327" s="3" t="s">
        <v>770</v>
      </c>
      <c r="N327" s="3" t="s">
        <v>770</v>
      </c>
      <c r="O327" s="5"/>
      <c r="P327" s="3" t="s">
        <v>22</v>
      </c>
      <c r="Q327" s="7"/>
      <c r="R327" s="7"/>
    </row>
    <row r="328" spans="1:18" ht="38.25" x14ac:dyDescent="0.25">
      <c r="A328" s="3" t="s">
        <v>18</v>
      </c>
      <c r="B328" s="3">
        <v>2013</v>
      </c>
      <c r="C328" s="3" t="s">
        <v>19</v>
      </c>
      <c r="D328" s="3" t="str">
        <f>"36/2013"</f>
        <v>36/2013</v>
      </c>
      <c r="E328" s="4">
        <v>41297</v>
      </c>
      <c r="F328" s="3" t="s">
        <v>773</v>
      </c>
      <c r="G328" s="5"/>
      <c r="H328" s="3" t="s">
        <v>774</v>
      </c>
      <c r="I328" s="3" t="str">
        <f>"3/23-01-2013"</f>
        <v>3/23-01-2013</v>
      </c>
      <c r="J328" s="4">
        <v>41297</v>
      </c>
      <c r="K328" s="6">
        <v>0.8125</v>
      </c>
      <c r="L328" s="3">
        <v>25</v>
      </c>
      <c r="M328" s="3" t="s">
        <v>775</v>
      </c>
      <c r="N328" s="3" t="s">
        <v>775</v>
      </c>
      <c r="O328" s="5"/>
      <c r="P328" s="3" t="s">
        <v>22</v>
      </c>
      <c r="Q328" s="7"/>
      <c r="R328" s="7"/>
    </row>
    <row r="329" spans="1:18" ht="51" x14ac:dyDescent="0.25">
      <c r="A329" s="3" t="s">
        <v>18</v>
      </c>
      <c r="B329" s="3">
        <v>2013</v>
      </c>
      <c r="C329" s="3" t="s">
        <v>19</v>
      </c>
      <c r="D329" s="3" t="str">
        <f>"360 / 2013"</f>
        <v>360 / 2013</v>
      </c>
      <c r="E329" s="4">
        <v>41424</v>
      </c>
      <c r="F329" s="3" t="s">
        <v>776</v>
      </c>
      <c r="G329" s="5"/>
      <c r="H329" s="3" t="s">
        <v>777</v>
      </c>
      <c r="I329" s="3" t="str">
        <f t="shared" ref="I329:I338" si="18">"12 / 22-05-2013"</f>
        <v>12 / 22-05-2013</v>
      </c>
      <c r="J329" s="4">
        <v>41416</v>
      </c>
      <c r="K329" s="6">
        <v>0.83333333333333337</v>
      </c>
      <c r="L329" s="3">
        <v>18</v>
      </c>
      <c r="M329" s="3" t="s">
        <v>56</v>
      </c>
      <c r="N329" s="3" t="s">
        <v>56</v>
      </c>
      <c r="O329" s="5"/>
      <c r="P329" s="3" t="s">
        <v>22</v>
      </c>
      <c r="Q329" s="7"/>
      <c r="R329" s="7"/>
    </row>
    <row r="330" spans="1:18" ht="89.25" x14ac:dyDescent="0.25">
      <c r="A330" s="3" t="s">
        <v>18</v>
      </c>
      <c r="B330" s="3">
        <v>2013</v>
      </c>
      <c r="C330" s="3" t="s">
        <v>19</v>
      </c>
      <c r="D330" s="3" t="str">
        <f>"361 / 2013"</f>
        <v>361 / 2013</v>
      </c>
      <c r="E330" s="4">
        <v>41423</v>
      </c>
      <c r="F330" s="3" t="s">
        <v>778</v>
      </c>
      <c r="G330" s="5"/>
      <c r="H330" s="3" t="s">
        <v>779</v>
      </c>
      <c r="I330" s="3" t="str">
        <f t="shared" si="18"/>
        <v>12 / 22-05-2013</v>
      </c>
      <c r="J330" s="4">
        <v>41416</v>
      </c>
      <c r="K330" s="6">
        <v>0.83333333333333337</v>
      </c>
      <c r="L330" s="3">
        <v>18</v>
      </c>
      <c r="M330" s="3" t="s">
        <v>715</v>
      </c>
      <c r="N330" s="3" t="s">
        <v>715</v>
      </c>
      <c r="O330" s="5"/>
      <c r="P330" s="3" t="s">
        <v>22</v>
      </c>
      <c r="Q330" s="7"/>
      <c r="R330" s="7"/>
    </row>
    <row r="331" spans="1:18" ht="51" x14ac:dyDescent="0.25">
      <c r="A331" s="3" t="s">
        <v>18</v>
      </c>
      <c r="B331" s="3">
        <v>2013</v>
      </c>
      <c r="C331" s="3" t="s">
        <v>19</v>
      </c>
      <c r="D331" s="3" t="str">
        <f>"362 / 2013"</f>
        <v>362 / 2013</v>
      </c>
      <c r="E331" s="4">
        <v>41424</v>
      </c>
      <c r="F331" s="3" t="s">
        <v>780</v>
      </c>
      <c r="G331" s="5"/>
      <c r="H331" s="3" t="s">
        <v>781</v>
      </c>
      <c r="I331" s="3" t="str">
        <f t="shared" si="18"/>
        <v>12 / 22-05-2013</v>
      </c>
      <c r="J331" s="4">
        <v>41416</v>
      </c>
      <c r="K331" s="6">
        <v>0.83333333333333337</v>
      </c>
      <c r="L331" s="3">
        <v>19</v>
      </c>
      <c r="M331" s="3" t="s">
        <v>56</v>
      </c>
      <c r="N331" s="3" t="s">
        <v>56</v>
      </c>
      <c r="O331" s="5"/>
      <c r="P331" s="3" t="s">
        <v>22</v>
      </c>
      <c r="Q331" s="7"/>
      <c r="R331" s="7"/>
    </row>
    <row r="332" spans="1:18" ht="63.75" x14ac:dyDescent="0.25">
      <c r="A332" s="3" t="s">
        <v>18</v>
      </c>
      <c r="B332" s="3">
        <v>2013</v>
      </c>
      <c r="C332" s="3" t="s">
        <v>19</v>
      </c>
      <c r="D332" s="3" t="str">
        <f>"363 / 2013"</f>
        <v>363 / 2013</v>
      </c>
      <c r="E332" s="4">
        <v>41430</v>
      </c>
      <c r="F332" s="3" t="s">
        <v>782</v>
      </c>
      <c r="G332" s="5"/>
      <c r="H332" s="3" t="s">
        <v>783</v>
      </c>
      <c r="I332" s="3" t="str">
        <f t="shared" si="18"/>
        <v>12 / 22-05-2013</v>
      </c>
      <c r="J332" s="4">
        <v>41416</v>
      </c>
      <c r="K332" s="6">
        <v>0.83333333333333337</v>
      </c>
      <c r="L332" s="3">
        <v>20</v>
      </c>
      <c r="M332" s="3" t="s">
        <v>784</v>
      </c>
      <c r="N332" s="3" t="s">
        <v>784</v>
      </c>
      <c r="O332" s="5"/>
      <c r="P332" s="3" t="s">
        <v>22</v>
      </c>
      <c r="Q332" s="7"/>
      <c r="R332" s="7"/>
    </row>
    <row r="333" spans="1:18" ht="63.75" x14ac:dyDescent="0.25">
      <c r="A333" s="3" t="s">
        <v>18</v>
      </c>
      <c r="B333" s="3">
        <v>2013</v>
      </c>
      <c r="C333" s="3" t="s">
        <v>19</v>
      </c>
      <c r="D333" s="3" t="str">
        <f>"364 / 2013"</f>
        <v>364 / 2013</v>
      </c>
      <c r="E333" s="4">
        <v>41418</v>
      </c>
      <c r="F333" s="3" t="s">
        <v>785</v>
      </c>
      <c r="G333" s="5"/>
      <c r="H333" s="3" t="s">
        <v>786</v>
      </c>
      <c r="I333" s="3" t="str">
        <f t="shared" si="18"/>
        <v>12 / 22-05-2013</v>
      </c>
      <c r="J333" s="4">
        <v>41416</v>
      </c>
      <c r="K333" s="6">
        <v>0.83333333333333337</v>
      </c>
      <c r="L333" s="3">
        <v>21</v>
      </c>
      <c r="M333" s="3" t="s">
        <v>56</v>
      </c>
      <c r="N333" s="3" t="s">
        <v>56</v>
      </c>
      <c r="O333" s="5"/>
      <c r="P333" s="3" t="s">
        <v>22</v>
      </c>
      <c r="Q333" s="7"/>
      <c r="R333" s="7"/>
    </row>
    <row r="334" spans="1:18" ht="63.75" x14ac:dyDescent="0.25">
      <c r="A334" s="3" t="s">
        <v>18</v>
      </c>
      <c r="B334" s="3">
        <v>2013</v>
      </c>
      <c r="C334" s="3" t="s">
        <v>19</v>
      </c>
      <c r="D334" s="3" t="str">
        <f>"365 / 2013"</f>
        <v>365 / 2013</v>
      </c>
      <c r="E334" s="4">
        <v>41422</v>
      </c>
      <c r="F334" s="3" t="s">
        <v>787</v>
      </c>
      <c r="G334" s="5"/>
      <c r="H334" s="3" t="s">
        <v>788</v>
      </c>
      <c r="I334" s="3" t="str">
        <f t="shared" si="18"/>
        <v>12 / 22-05-2013</v>
      </c>
      <c r="J334" s="4">
        <v>41416</v>
      </c>
      <c r="K334" s="6">
        <v>0.83333333333333337</v>
      </c>
      <c r="L334" s="3">
        <v>22</v>
      </c>
      <c r="M334" s="3" t="s">
        <v>56</v>
      </c>
      <c r="N334" s="3" t="s">
        <v>56</v>
      </c>
      <c r="O334" s="5"/>
      <c r="P334" s="3" t="s">
        <v>22</v>
      </c>
      <c r="Q334" s="7"/>
      <c r="R334" s="7"/>
    </row>
    <row r="335" spans="1:18" ht="51" x14ac:dyDescent="0.25">
      <c r="A335" s="3" t="s">
        <v>18</v>
      </c>
      <c r="B335" s="3">
        <v>2013</v>
      </c>
      <c r="C335" s="3" t="s">
        <v>19</v>
      </c>
      <c r="D335" s="3" t="str">
        <f>"366 / 2013"</f>
        <v>366 / 2013</v>
      </c>
      <c r="E335" s="4">
        <v>41422</v>
      </c>
      <c r="F335" s="3" t="s">
        <v>789</v>
      </c>
      <c r="G335" s="5"/>
      <c r="H335" s="3" t="s">
        <v>790</v>
      </c>
      <c r="I335" s="3" t="str">
        <f t="shared" si="18"/>
        <v>12 / 22-05-2013</v>
      </c>
      <c r="J335" s="4">
        <v>41416</v>
      </c>
      <c r="K335" s="6">
        <v>0.83333333333333337</v>
      </c>
      <c r="L335" s="3">
        <v>22</v>
      </c>
      <c r="M335" s="3" t="s">
        <v>56</v>
      </c>
      <c r="N335" s="3" t="s">
        <v>56</v>
      </c>
      <c r="O335" s="5"/>
      <c r="P335" s="3" t="s">
        <v>22</v>
      </c>
      <c r="Q335" s="7"/>
      <c r="R335" s="7"/>
    </row>
    <row r="336" spans="1:18" ht="76.5" x14ac:dyDescent="0.25">
      <c r="A336" s="3" t="s">
        <v>18</v>
      </c>
      <c r="B336" s="3">
        <v>2013</v>
      </c>
      <c r="C336" s="3" t="s">
        <v>19</v>
      </c>
      <c r="D336" s="3" t="str">
        <f>"367 / 2013"</f>
        <v>367 / 2013</v>
      </c>
      <c r="E336" s="4">
        <v>41424</v>
      </c>
      <c r="F336" s="3" t="s">
        <v>791</v>
      </c>
      <c r="G336" s="5"/>
      <c r="H336" s="3" t="s">
        <v>792</v>
      </c>
      <c r="I336" s="3" t="str">
        <f t="shared" si="18"/>
        <v>12 / 22-05-2013</v>
      </c>
      <c r="J336" s="4">
        <v>41416</v>
      </c>
      <c r="K336" s="6">
        <v>0.83333333333333337</v>
      </c>
      <c r="L336" s="3">
        <v>23</v>
      </c>
      <c r="M336" s="3" t="s">
        <v>784</v>
      </c>
      <c r="N336" s="3" t="s">
        <v>784</v>
      </c>
      <c r="O336" s="5"/>
      <c r="P336" s="3" t="s">
        <v>22</v>
      </c>
      <c r="Q336" s="7"/>
      <c r="R336" s="7"/>
    </row>
    <row r="337" spans="1:18" ht="76.5" x14ac:dyDescent="0.25">
      <c r="A337" s="3" t="s">
        <v>18</v>
      </c>
      <c r="B337" s="3">
        <v>2013</v>
      </c>
      <c r="C337" s="3" t="s">
        <v>19</v>
      </c>
      <c r="D337" s="3" t="str">
        <f>"368 / 2013"</f>
        <v>368 / 2013</v>
      </c>
      <c r="E337" s="4">
        <v>41425</v>
      </c>
      <c r="F337" s="3" t="s">
        <v>793</v>
      </c>
      <c r="G337" s="5"/>
      <c r="H337" s="3" t="s">
        <v>794</v>
      </c>
      <c r="I337" s="3" t="str">
        <f t="shared" si="18"/>
        <v>12 / 22-05-2013</v>
      </c>
      <c r="J337" s="4">
        <v>41416</v>
      </c>
      <c r="K337" s="6">
        <v>0.83333333333333337</v>
      </c>
      <c r="L337" s="3">
        <v>24</v>
      </c>
      <c r="M337" s="3" t="s">
        <v>56</v>
      </c>
      <c r="N337" s="3" t="s">
        <v>56</v>
      </c>
      <c r="O337" s="5"/>
      <c r="P337" s="3" t="s">
        <v>22</v>
      </c>
      <c r="Q337" s="7"/>
      <c r="R337" s="7"/>
    </row>
    <row r="338" spans="1:18" ht="63.75" x14ac:dyDescent="0.25">
      <c r="A338" s="3" t="s">
        <v>18</v>
      </c>
      <c r="B338" s="3">
        <v>2013</v>
      </c>
      <c r="C338" s="3" t="s">
        <v>19</v>
      </c>
      <c r="D338" s="3" t="str">
        <f>"369 / 2013"</f>
        <v>369 / 2013</v>
      </c>
      <c r="E338" s="4">
        <v>41421</v>
      </c>
      <c r="F338" s="3" t="s">
        <v>795</v>
      </c>
      <c r="G338" s="5"/>
      <c r="H338" s="3" t="s">
        <v>796</v>
      </c>
      <c r="I338" s="3" t="str">
        <f t="shared" si="18"/>
        <v>12 / 22-05-2013</v>
      </c>
      <c r="J338" s="4">
        <v>41416</v>
      </c>
      <c r="K338" s="6">
        <v>0.83333333333333337</v>
      </c>
      <c r="L338" s="3">
        <v>25</v>
      </c>
      <c r="M338" s="3" t="s">
        <v>56</v>
      </c>
      <c r="N338" s="3" t="s">
        <v>56</v>
      </c>
      <c r="O338" s="5"/>
      <c r="P338" s="3" t="s">
        <v>22</v>
      </c>
      <c r="Q338" s="7"/>
      <c r="R338" s="7"/>
    </row>
    <row r="339" spans="1:18" ht="38.25" x14ac:dyDescent="0.25">
      <c r="A339" s="3" t="s">
        <v>18</v>
      </c>
      <c r="B339" s="3">
        <v>2013</v>
      </c>
      <c r="C339" s="3" t="s">
        <v>19</v>
      </c>
      <c r="D339" s="3" t="str">
        <f>"37/2013"</f>
        <v>37/2013</v>
      </c>
      <c r="E339" s="4">
        <v>41297</v>
      </c>
      <c r="F339" s="3" t="s">
        <v>797</v>
      </c>
      <c r="G339" s="5"/>
      <c r="H339" s="3" t="s">
        <v>798</v>
      </c>
      <c r="I339" s="3" t="str">
        <f>"3/23-01-2013"</f>
        <v>3/23-01-2013</v>
      </c>
      <c r="J339" s="4">
        <v>41297</v>
      </c>
      <c r="K339" s="6">
        <v>0.8125</v>
      </c>
      <c r="L339" s="3">
        <v>25</v>
      </c>
      <c r="M339" s="3" t="s">
        <v>185</v>
      </c>
      <c r="N339" s="3" t="s">
        <v>185</v>
      </c>
      <c r="O339" s="5"/>
      <c r="P339" s="3" t="s">
        <v>22</v>
      </c>
      <c r="Q339" s="7"/>
      <c r="R339" s="7"/>
    </row>
    <row r="340" spans="1:18" ht="38.25" x14ac:dyDescent="0.25">
      <c r="A340" s="3" t="s">
        <v>18</v>
      </c>
      <c r="B340" s="3">
        <v>2013</v>
      </c>
      <c r="C340" s="3" t="s">
        <v>19</v>
      </c>
      <c r="D340" s="3" t="str">
        <f>"370 / 2013"</f>
        <v>370 / 2013</v>
      </c>
      <c r="E340" s="4">
        <v>41422</v>
      </c>
      <c r="F340" s="3" t="s">
        <v>799</v>
      </c>
      <c r="G340" s="5"/>
      <c r="H340" s="3" t="s">
        <v>800</v>
      </c>
      <c r="I340" s="3" t="str">
        <f t="shared" ref="I340:I346" si="19">"12 / 22-05-2013"</f>
        <v>12 / 22-05-2013</v>
      </c>
      <c r="J340" s="4">
        <v>41416</v>
      </c>
      <c r="K340" s="6">
        <v>0.83333333333333337</v>
      </c>
      <c r="L340" s="3">
        <v>26</v>
      </c>
      <c r="M340" s="3" t="s">
        <v>801</v>
      </c>
      <c r="N340" s="3" t="s">
        <v>801</v>
      </c>
      <c r="O340" s="5"/>
      <c r="P340" s="3" t="s">
        <v>22</v>
      </c>
      <c r="Q340" s="7"/>
      <c r="R340" s="7"/>
    </row>
    <row r="341" spans="1:18" ht="102" x14ac:dyDescent="0.25">
      <c r="A341" s="3" t="s">
        <v>18</v>
      </c>
      <c r="B341" s="3">
        <v>2013</v>
      </c>
      <c r="C341" s="3" t="s">
        <v>19</v>
      </c>
      <c r="D341" s="3" t="str">
        <f>"371 / 2013"</f>
        <v>371 / 2013</v>
      </c>
      <c r="E341" s="4">
        <v>41421</v>
      </c>
      <c r="F341" s="3" t="s">
        <v>802</v>
      </c>
      <c r="G341" s="5"/>
      <c r="H341" s="3" t="s">
        <v>803</v>
      </c>
      <c r="I341" s="3" t="str">
        <f t="shared" si="19"/>
        <v>12 / 22-05-2013</v>
      </c>
      <c r="J341" s="4">
        <v>41416</v>
      </c>
      <c r="K341" s="6">
        <v>0.83333333333333337</v>
      </c>
      <c r="L341" s="3">
        <v>27</v>
      </c>
      <c r="M341" s="3" t="s">
        <v>804</v>
      </c>
      <c r="N341" s="3" t="s">
        <v>804</v>
      </c>
      <c r="O341" s="5"/>
      <c r="P341" s="3" t="s">
        <v>22</v>
      </c>
      <c r="Q341" s="7"/>
      <c r="R341" s="7"/>
    </row>
    <row r="342" spans="1:18" ht="102" x14ac:dyDescent="0.25">
      <c r="A342" s="3" t="s">
        <v>18</v>
      </c>
      <c r="B342" s="3">
        <v>2013</v>
      </c>
      <c r="C342" s="3" t="s">
        <v>19</v>
      </c>
      <c r="D342" s="3" t="str">
        <f>"372 / 2013"</f>
        <v>372 / 2013</v>
      </c>
      <c r="E342" s="4">
        <v>41421</v>
      </c>
      <c r="F342" s="3" t="s">
        <v>805</v>
      </c>
      <c r="G342" s="5"/>
      <c r="H342" s="3" t="s">
        <v>806</v>
      </c>
      <c r="I342" s="3" t="str">
        <f t="shared" si="19"/>
        <v>12 / 22-05-2013</v>
      </c>
      <c r="J342" s="4">
        <v>41416</v>
      </c>
      <c r="K342" s="6">
        <v>0.83333333333333337</v>
      </c>
      <c r="L342" s="3">
        <v>27</v>
      </c>
      <c r="M342" s="3" t="s">
        <v>804</v>
      </c>
      <c r="N342" s="3" t="s">
        <v>804</v>
      </c>
      <c r="O342" s="5"/>
      <c r="P342" s="3" t="s">
        <v>22</v>
      </c>
      <c r="Q342" s="7"/>
      <c r="R342" s="7"/>
    </row>
    <row r="343" spans="1:18" ht="51" x14ac:dyDescent="0.25">
      <c r="A343" s="3" t="s">
        <v>18</v>
      </c>
      <c r="B343" s="3">
        <v>2013</v>
      </c>
      <c r="C343" s="3" t="s">
        <v>19</v>
      </c>
      <c r="D343" s="3" t="str">
        <f>"373 / 2013"</f>
        <v>373 / 2013</v>
      </c>
      <c r="E343" s="4">
        <v>41418</v>
      </c>
      <c r="F343" s="3" t="s">
        <v>807</v>
      </c>
      <c r="G343" s="5"/>
      <c r="H343" s="3" t="s">
        <v>808</v>
      </c>
      <c r="I343" s="3" t="str">
        <f t="shared" si="19"/>
        <v>12 / 22-05-2013</v>
      </c>
      <c r="J343" s="4">
        <v>41416</v>
      </c>
      <c r="K343" s="6">
        <v>0.83333333333333337</v>
      </c>
      <c r="L343" s="3">
        <v>28</v>
      </c>
      <c r="M343" s="3" t="s">
        <v>32</v>
      </c>
      <c r="N343" s="3" t="s">
        <v>32</v>
      </c>
      <c r="O343" s="5"/>
      <c r="P343" s="3" t="s">
        <v>22</v>
      </c>
      <c r="Q343" s="7"/>
      <c r="R343" s="7"/>
    </row>
    <row r="344" spans="1:18" ht="51" x14ac:dyDescent="0.25">
      <c r="A344" s="3" t="s">
        <v>18</v>
      </c>
      <c r="B344" s="3">
        <v>2013</v>
      </c>
      <c r="C344" s="3" t="s">
        <v>19</v>
      </c>
      <c r="D344" s="3" t="str">
        <f>"374 / 2013"</f>
        <v>374 / 2013</v>
      </c>
      <c r="E344" s="4">
        <v>41418</v>
      </c>
      <c r="F344" s="3" t="s">
        <v>809</v>
      </c>
      <c r="G344" s="5"/>
      <c r="H344" s="3" t="s">
        <v>810</v>
      </c>
      <c r="I344" s="3" t="str">
        <f t="shared" si="19"/>
        <v>12 / 22-05-2013</v>
      </c>
      <c r="J344" s="4">
        <v>41416</v>
      </c>
      <c r="K344" s="6">
        <v>0.83333333333333337</v>
      </c>
      <c r="L344" s="3">
        <v>28</v>
      </c>
      <c r="M344" s="3" t="s">
        <v>32</v>
      </c>
      <c r="N344" s="3" t="s">
        <v>32</v>
      </c>
      <c r="O344" s="5"/>
      <c r="P344" s="3" t="s">
        <v>22</v>
      </c>
      <c r="Q344" s="7"/>
      <c r="R344" s="7"/>
    </row>
    <row r="345" spans="1:18" ht="51" x14ac:dyDescent="0.25">
      <c r="A345" s="3" t="s">
        <v>18</v>
      </c>
      <c r="B345" s="3">
        <v>2013</v>
      </c>
      <c r="C345" s="3" t="s">
        <v>19</v>
      </c>
      <c r="D345" s="3" t="str">
        <f>"375 / 2013"</f>
        <v>375 / 2013</v>
      </c>
      <c r="E345" s="4">
        <v>41418</v>
      </c>
      <c r="F345" s="3" t="s">
        <v>811</v>
      </c>
      <c r="G345" s="5"/>
      <c r="H345" s="3" t="s">
        <v>812</v>
      </c>
      <c r="I345" s="3" t="str">
        <f t="shared" si="19"/>
        <v>12 / 22-05-2013</v>
      </c>
      <c r="J345" s="4">
        <v>41416</v>
      </c>
      <c r="K345" s="6">
        <v>0.83333333333333337</v>
      </c>
      <c r="L345" s="3">
        <v>28</v>
      </c>
      <c r="M345" s="3" t="s">
        <v>32</v>
      </c>
      <c r="N345" s="3" t="s">
        <v>32</v>
      </c>
      <c r="O345" s="5"/>
      <c r="P345" s="3" t="s">
        <v>22</v>
      </c>
      <c r="Q345" s="7"/>
      <c r="R345" s="7"/>
    </row>
    <row r="346" spans="1:18" ht="76.5" x14ac:dyDescent="0.25">
      <c r="A346" s="3" t="s">
        <v>18</v>
      </c>
      <c r="B346" s="3">
        <v>2013</v>
      </c>
      <c r="C346" s="3" t="s">
        <v>19</v>
      </c>
      <c r="D346" s="3" t="str">
        <f>"375α/ 2013"</f>
        <v>375α/ 2013</v>
      </c>
      <c r="E346" s="4">
        <v>41421</v>
      </c>
      <c r="F346" s="3" t="s">
        <v>813</v>
      </c>
      <c r="G346" s="5"/>
      <c r="H346" s="3" t="s">
        <v>814</v>
      </c>
      <c r="I346" s="3" t="str">
        <f t="shared" si="19"/>
        <v>12 / 22-05-2013</v>
      </c>
      <c r="J346" s="4">
        <v>41416</v>
      </c>
      <c r="K346" s="6">
        <v>0.83333333333333337</v>
      </c>
      <c r="L346" s="5"/>
      <c r="M346" s="3" t="s">
        <v>815</v>
      </c>
      <c r="N346" s="3" t="s">
        <v>815</v>
      </c>
      <c r="O346" s="5"/>
      <c r="P346" s="3" t="s">
        <v>74</v>
      </c>
      <c r="Q346" s="7"/>
      <c r="R346" s="7"/>
    </row>
    <row r="347" spans="1:18" ht="38.25" x14ac:dyDescent="0.25">
      <c r="A347" s="3" t="s">
        <v>18</v>
      </c>
      <c r="B347" s="3">
        <v>2013</v>
      </c>
      <c r="C347" s="3" t="s">
        <v>19</v>
      </c>
      <c r="D347" s="3" t="str">
        <f>"376 / 2013"</f>
        <v>376 / 2013</v>
      </c>
      <c r="E347" s="4">
        <v>41421</v>
      </c>
      <c r="F347" s="3" t="s">
        <v>816</v>
      </c>
      <c r="G347" s="5"/>
      <c r="H347" s="3" t="s">
        <v>817</v>
      </c>
      <c r="I347" s="3" t="str">
        <f>"13 / 26-05-2013"</f>
        <v>13 / 26-05-2013</v>
      </c>
      <c r="J347" s="4">
        <v>41420</v>
      </c>
      <c r="K347" s="6">
        <v>0.5</v>
      </c>
      <c r="L347" s="5"/>
      <c r="M347" s="3" t="s">
        <v>25</v>
      </c>
      <c r="N347" s="3" t="s">
        <v>25</v>
      </c>
      <c r="O347" s="5"/>
      <c r="P347" s="3" t="s">
        <v>114</v>
      </c>
      <c r="Q347" s="7"/>
      <c r="R347" s="7"/>
    </row>
    <row r="348" spans="1:18" ht="63.75" x14ac:dyDescent="0.25">
      <c r="A348" s="3" t="s">
        <v>18</v>
      </c>
      <c r="B348" s="3">
        <v>2013</v>
      </c>
      <c r="C348" s="3" t="s">
        <v>19</v>
      </c>
      <c r="D348" s="3" t="str">
        <f>"377 / 2013"</f>
        <v>377 / 2013</v>
      </c>
      <c r="E348" s="4">
        <v>41439</v>
      </c>
      <c r="F348" s="3" t="s">
        <v>818</v>
      </c>
      <c r="G348" s="5"/>
      <c r="H348" s="3" t="s">
        <v>819</v>
      </c>
      <c r="I348" s="3" t="str">
        <f>"14 / 12-06-2013"</f>
        <v>14 / 12-06-2013</v>
      </c>
      <c r="J348" s="4">
        <v>41437</v>
      </c>
      <c r="K348" s="6">
        <v>0.83333333333333337</v>
      </c>
      <c r="L348" s="3">
        <v>2</v>
      </c>
      <c r="M348" s="3" t="s">
        <v>333</v>
      </c>
      <c r="N348" s="3" t="s">
        <v>333</v>
      </c>
      <c r="O348" s="5"/>
      <c r="P348" s="3" t="s">
        <v>22</v>
      </c>
      <c r="Q348" s="7"/>
      <c r="R348" s="7"/>
    </row>
    <row r="349" spans="1:18" ht="89.25" x14ac:dyDescent="0.25">
      <c r="A349" s="3" t="s">
        <v>18</v>
      </c>
      <c r="B349" s="3">
        <v>2013</v>
      </c>
      <c r="C349" s="3" t="s">
        <v>19</v>
      </c>
      <c r="D349" s="3" t="str">
        <f>"378 / 2013"</f>
        <v>378 / 2013</v>
      </c>
      <c r="E349" s="4">
        <v>41443</v>
      </c>
      <c r="F349" s="3" t="s">
        <v>820</v>
      </c>
      <c r="G349" s="5"/>
      <c r="H349" s="3" t="s">
        <v>821</v>
      </c>
      <c r="I349" s="3" t="str">
        <f>"14 / 12-06-2013"</f>
        <v>14 / 12-06-2013</v>
      </c>
      <c r="J349" s="4">
        <v>41437</v>
      </c>
      <c r="K349" s="6">
        <v>0.83333333333333337</v>
      </c>
      <c r="L349" s="3">
        <v>3</v>
      </c>
      <c r="M349" s="3" t="s">
        <v>822</v>
      </c>
      <c r="N349" s="3" t="s">
        <v>543</v>
      </c>
      <c r="O349" s="5"/>
      <c r="P349" s="3" t="s">
        <v>22</v>
      </c>
      <c r="Q349" s="7"/>
      <c r="R349" s="7"/>
    </row>
    <row r="350" spans="1:18" ht="89.25" x14ac:dyDescent="0.25">
      <c r="A350" s="3" t="s">
        <v>18</v>
      </c>
      <c r="B350" s="3">
        <v>2013</v>
      </c>
      <c r="C350" s="3" t="s">
        <v>19</v>
      </c>
      <c r="D350" s="3" t="str">
        <f>"379 / 2013"</f>
        <v>379 / 2013</v>
      </c>
      <c r="E350" s="4">
        <v>41443</v>
      </c>
      <c r="F350" s="3" t="s">
        <v>823</v>
      </c>
      <c r="G350" s="5"/>
      <c r="H350" s="3" t="s">
        <v>824</v>
      </c>
      <c r="I350" s="3" t="str">
        <f>"14 / 12-06-2013"</f>
        <v>14 / 12-06-2013</v>
      </c>
      <c r="J350" s="4">
        <v>41437</v>
      </c>
      <c r="K350" s="6">
        <v>0.83333333333333337</v>
      </c>
      <c r="L350" s="3">
        <v>3</v>
      </c>
      <c r="M350" s="3" t="s">
        <v>822</v>
      </c>
      <c r="N350" s="3" t="s">
        <v>543</v>
      </c>
      <c r="O350" s="5"/>
      <c r="P350" s="3" t="s">
        <v>22</v>
      </c>
      <c r="Q350" s="7"/>
      <c r="R350" s="7"/>
    </row>
    <row r="351" spans="1:18" ht="63.75" x14ac:dyDescent="0.25">
      <c r="A351" s="3" t="s">
        <v>18</v>
      </c>
      <c r="B351" s="3">
        <v>2013</v>
      </c>
      <c r="C351" s="3" t="s">
        <v>19</v>
      </c>
      <c r="D351" s="3" t="str">
        <f>"38/2013"</f>
        <v>38/2013</v>
      </c>
      <c r="E351" s="4">
        <v>41297</v>
      </c>
      <c r="F351" s="3" t="s">
        <v>825</v>
      </c>
      <c r="G351" s="5"/>
      <c r="H351" s="3" t="s">
        <v>826</v>
      </c>
      <c r="I351" s="3" t="str">
        <f>"3/23-01-2013"</f>
        <v>3/23-01-2013</v>
      </c>
      <c r="J351" s="4">
        <v>41297</v>
      </c>
      <c r="K351" s="6">
        <v>0.8125</v>
      </c>
      <c r="L351" s="3">
        <v>25</v>
      </c>
      <c r="M351" s="3" t="s">
        <v>185</v>
      </c>
      <c r="N351" s="3" t="s">
        <v>185</v>
      </c>
      <c r="O351" s="5"/>
      <c r="P351" s="3" t="s">
        <v>22</v>
      </c>
      <c r="Q351" s="7"/>
      <c r="R351" s="7"/>
    </row>
    <row r="352" spans="1:18" ht="63.75" x14ac:dyDescent="0.25">
      <c r="A352" s="3" t="s">
        <v>18</v>
      </c>
      <c r="B352" s="3">
        <v>2013</v>
      </c>
      <c r="C352" s="3" t="s">
        <v>19</v>
      </c>
      <c r="D352" s="3" t="str">
        <f>"380 / 2013"</f>
        <v>380 / 2013</v>
      </c>
      <c r="E352" s="4">
        <v>41445</v>
      </c>
      <c r="F352" s="3" t="s">
        <v>827</v>
      </c>
      <c r="G352" s="5"/>
      <c r="H352" s="3" t="s">
        <v>828</v>
      </c>
      <c r="I352" s="3" t="str">
        <f t="shared" ref="I352:I359" si="20">"14 / 12-06-2013"</f>
        <v>14 / 12-06-2013</v>
      </c>
      <c r="J352" s="4">
        <v>41437</v>
      </c>
      <c r="K352" s="6">
        <v>0.83333333333333337</v>
      </c>
      <c r="L352" s="3">
        <v>4</v>
      </c>
      <c r="M352" s="3" t="s">
        <v>728</v>
      </c>
      <c r="N352" s="3" t="s">
        <v>829</v>
      </c>
      <c r="O352" s="5"/>
      <c r="P352" s="3" t="s">
        <v>22</v>
      </c>
      <c r="Q352" s="7"/>
      <c r="R352" s="7"/>
    </row>
    <row r="353" spans="1:18" ht="114.75" x14ac:dyDescent="0.25">
      <c r="A353" s="3" t="s">
        <v>18</v>
      </c>
      <c r="B353" s="3">
        <v>2013</v>
      </c>
      <c r="C353" s="3" t="s">
        <v>19</v>
      </c>
      <c r="D353" s="3" t="str">
        <f>"382 / 2013"</f>
        <v>382 / 2013</v>
      </c>
      <c r="E353" s="4">
        <v>41451</v>
      </c>
      <c r="F353" s="3" t="s">
        <v>830</v>
      </c>
      <c r="G353" s="5"/>
      <c r="H353" s="3" t="s">
        <v>831</v>
      </c>
      <c r="I353" s="3" t="str">
        <f t="shared" si="20"/>
        <v>14 / 12-06-2013</v>
      </c>
      <c r="J353" s="4">
        <v>41437</v>
      </c>
      <c r="K353" s="6">
        <v>0.83333333333333337</v>
      </c>
      <c r="L353" s="3">
        <v>6</v>
      </c>
      <c r="M353" s="3" t="s">
        <v>333</v>
      </c>
      <c r="N353" s="3" t="s">
        <v>333</v>
      </c>
      <c r="O353" s="5"/>
      <c r="P353" s="3" t="s">
        <v>22</v>
      </c>
      <c r="Q353" s="7"/>
      <c r="R353" s="7"/>
    </row>
    <row r="354" spans="1:18" ht="89.25" x14ac:dyDescent="0.25">
      <c r="A354" s="3" t="s">
        <v>18</v>
      </c>
      <c r="B354" s="3">
        <v>2013</v>
      </c>
      <c r="C354" s="3" t="s">
        <v>19</v>
      </c>
      <c r="D354" s="3" t="str">
        <f>"383 / 2013"</f>
        <v>383 / 2013</v>
      </c>
      <c r="E354" s="4">
        <v>41439</v>
      </c>
      <c r="F354" s="3" t="s">
        <v>832</v>
      </c>
      <c r="G354" s="5"/>
      <c r="H354" s="3" t="s">
        <v>833</v>
      </c>
      <c r="I354" s="3" t="str">
        <f t="shared" si="20"/>
        <v>14 / 12-06-2013</v>
      </c>
      <c r="J354" s="4">
        <v>41437</v>
      </c>
      <c r="K354" s="6">
        <v>0.83333333333333337</v>
      </c>
      <c r="L354" s="3">
        <v>7</v>
      </c>
      <c r="M354" s="3" t="s">
        <v>330</v>
      </c>
      <c r="N354" s="3" t="s">
        <v>330</v>
      </c>
      <c r="O354" s="5"/>
      <c r="P354" s="3" t="s">
        <v>22</v>
      </c>
      <c r="Q354" s="7"/>
      <c r="R354" s="7"/>
    </row>
    <row r="355" spans="1:18" ht="51" x14ac:dyDescent="0.25">
      <c r="A355" s="3" t="s">
        <v>18</v>
      </c>
      <c r="B355" s="3">
        <v>2013</v>
      </c>
      <c r="C355" s="3" t="s">
        <v>19</v>
      </c>
      <c r="D355" s="3" t="str">
        <f>"384 / 2013"</f>
        <v>384 / 2013</v>
      </c>
      <c r="E355" s="4">
        <v>41438</v>
      </c>
      <c r="F355" s="3" t="s">
        <v>834</v>
      </c>
      <c r="G355" s="5"/>
      <c r="H355" s="3" t="s">
        <v>835</v>
      </c>
      <c r="I355" s="3" t="str">
        <f t="shared" si="20"/>
        <v>14 / 12-06-2013</v>
      </c>
      <c r="J355" s="4">
        <v>41437</v>
      </c>
      <c r="K355" s="6">
        <v>0.83333333333333337</v>
      </c>
      <c r="L355" s="3">
        <v>8</v>
      </c>
      <c r="M355" s="3" t="s">
        <v>32</v>
      </c>
      <c r="N355" s="3" t="s">
        <v>32</v>
      </c>
      <c r="O355" s="5"/>
      <c r="P355" s="3" t="s">
        <v>22</v>
      </c>
      <c r="Q355" s="7"/>
      <c r="R355" s="7"/>
    </row>
    <row r="356" spans="1:18" ht="63.75" x14ac:dyDescent="0.25">
      <c r="A356" s="3" t="s">
        <v>18</v>
      </c>
      <c r="B356" s="3">
        <v>2013</v>
      </c>
      <c r="C356" s="3" t="s">
        <v>19</v>
      </c>
      <c r="D356" s="3" t="str">
        <f>"386 / 2013"</f>
        <v>386 / 2013</v>
      </c>
      <c r="E356" s="4">
        <v>41439</v>
      </c>
      <c r="F356" s="3" t="s">
        <v>836</v>
      </c>
      <c r="G356" s="5"/>
      <c r="H356" s="3" t="s">
        <v>837</v>
      </c>
      <c r="I356" s="3" t="str">
        <f t="shared" si="20"/>
        <v>14 / 12-06-2013</v>
      </c>
      <c r="J356" s="4">
        <v>41437</v>
      </c>
      <c r="K356" s="6">
        <v>0.83333333333333337</v>
      </c>
      <c r="L356" s="3">
        <v>10</v>
      </c>
      <c r="M356" s="3" t="s">
        <v>838</v>
      </c>
      <c r="N356" s="3" t="s">
        <v>838</v>
      </c>
      <c r="O356" s="5"/>
      <c r="P356" s="3" t="s">
        <v>22</v>
      </c>
      <c r="Q356" s="7"/>
      <c r="R356" s="7"/>
    </row>
    <row r="357" spans="1:18" ht="63.75" x14ac:dyDescent="0.25">
      <c r="A357" s="3" t="s">
        <v>18</v>
      </c>
      <c r="B357" s="3">
        <v>2013</v>
      </c>
      <c r="C357" s="3" t="s">
        <v>19</v>
      </c>
      <c r="D357" s="3" t="str">
        <f>"387 / 2013"</f>
        <v>387 / 2013</v>
      </c>
      <c r="E357" s="4">
        <v>41439</v>
      </c>
      <c r="F357" s="3" t="s">
        <v>839</v>
      </c>
      <c r="G357" s="5"/>
      <c r="H357" s="3" t="s">
        <v>840</v>
      </c>
      <c r="I357" s="3" t="str">
        <f t="shared" si="20"/>
        <v>14 / 12-06-2013</v>
      </c>
      <c r="J357" s="4">
        <v>41437</v>
      </c>
      <c r="K357" s="6">
        <v>0.83333333333333337</v>
      </c>
      <c r="L357" s="3">
        <v>11</v>
      </c>
      <c r="M357" s="5"/>
      <c r="N357" s="5"/>
      <c r="O357" s="5"/>
      <c r="P357" s="3" t="s">
        <v>22</v>
      </c>
      <c r="Q357" s="7"/>
      <c r="R357" s="7"/>
    </row>
    <row r="358" spans="1:18" ht="51" x14ac:dyDescent="0.25">
      <c r="A358" s="3" t="s">
        <v>18</v>
      </c>
      <c r="B358" s="3">
        <v>2013</v>
      </c>
      <c r="C358" s="3" t="s">
        <v>19</v>
      </c>
      <c r="D358" s="3" t="str">
        <f>"388 / 2013"</f>
        <v>388 / 2013</v>
      </c>
      <c r="E358" s="4">
        <v>41443</v>
      </c>
      <c r="F358" s="3" t="s">
        <v>841</v>
      </c>
      <c r="G358" s="5"/>
      <c r="H358" s="3" t="s">
        <v>842</v>
      </c>
      <c r="I358" s="3" t="str">
        <f t="shared" si="20"/>
        <v>14 / 12-06-2013</v>
      </c>
      <c r="J358" s="4">
        <v>41437</v>
      </c>
      <c r="K358" s="6">
        <v>0.83333333333333337</v>
      </c>
      <c r="L358" s="3">
        <v>12</v>
      </c>
      <c r="M358" s="5"/>
      <c r="N358" s="5"/>
      <c r="O358" s="5"/>
      <c r="P358" s="3" t="s">
        <v>22</v>
      </c>
      <c r="Q358" s="7"/>
      <c r="R358" s="7"/>
    </row>
    <row r="359" spans="1:18" ht="76.5" x14ac:dyDescent="0.25">
      <c r="A359" s="3" t="s">
        <v>18</v>
      </c>
      <c r="B359" s="3">
        <v>2013</v>
      </c>
      <c r="C359" s="3" t="s">
        <v>19</v>
      </c>
      <c r="D359" s="3" t="str">
        <f>"389 / 2013"</f>
        <v>389 / 2013</v>
      </c>
      <c r="E359" s="4">
        <v>41438</v>
      </c>
      <c r="F359" s="3" t="s">
        <v>843</v>
      </c>
      <c r="G359" s="5"/>
      <c r="H359" s="3" t="s">
        <v>844</v>
      </c>
      <c r="I359" s="3" t="str">
        <f t="shared" si="20"/>
        <v>14 / 12-06-2013</v>
      </c>
      <c r="J359" s="4">
        <v>41437</v>
      </c>
      <c r="K359" s="6">
        <v>0.83333333333333337</v>
      </c>
      <c r="L359" s="3">
        <v>13</v>
      </c>
      <c r="M359" s="3" t="s">
        <v>126</v>
      </c>
      <c r="N359" s="3" t="s">
        <v>126</v>
      </c>
      <c r="O359" s="5"/>
      <c r="P359" s="3" t="s">
        <v>22</v>
      </c>
      <c r="Q359" s="7"/>
      <c r="R359" s="7"/>
    </row>
    <row r="360" spans="1:18" ht="38.25" x14ac:dyDescent="0.25">
      <c r="A360" s="3" t="s">
        <v>18</v>
      </c>
      <c r="B360" s="3">
        <v>2013</v>
      </c>
      <c r="C360" s="3" t="s">
        <v>19</v>
      </c>
      <c r="D360" s="3" t="str">
        <f>"39/2013"</f>
        <v>39/2013</v>
      </c>
      <c r="E360" s="4">
        <v>41304</v>
      </c>
      <c r="F360" s="3" t="s">
        <v>845</v>
      </c>
      <c r="G360" s="5"/>
      <c r="H360" s="3" t="s">
        <v>846</v>
      </c>
      <c r="I360" s="3" t="str">
        <f>"4/30-01-2013"</f>
        <v>4/30-01-2013</v>
      </c>
      <c r="J360" s="4">
        <v>41304</v>
      </c>
      <c r="K360" s="6">
        <v>0.79166666666666663</v>
      </c>
      <c r="L360" s="3">
        <v>1</v>
      </c>
      <c r="M360" s="3" t="s">
        <v>149</v>
      </c>
      <c r="N360" s="3" t="s">
        <v>149</v>
      </c>
      <c r="O360" s="5"/>
      <c r="P360" s="3" t="s">
        <v>22</v>
      </c>
      <c r="Q360" s="7"/>
      <c r="R360" s="7"/>
    </row>
    <row r="361" spans="1:18" ht="76.5" x14ac:dyDescent="0.25">
      <c r="A361" s="3" t="s">
        <v>18</v>
      </c>
      <c r="B361" s="3">
        <v>2013</v>
      </c>
      <c r="C361" s="3" t="s">
        <v>19</v>
      </c>
      <c r="D361" s="3" t="str">
        <f>"390 / 2013"</f>
        <v>390 / 2013</v>
      </c>
      <c r="E361" s="4">
        <v>41446</v>
      </c>
      <c r="F361" s="3" t="s">
        <v>847</v>
      </c>
      <c r="G361" s="5"/>
      <c r="H361" s="3" t="s">
        <v>848</v>
      </c>
      <c r="I361" s="3" t="str">
        <f t="shared" ref="I361:I370" si="21">"14 / 12-06-2013"</f>
        <v>14 / 12-06-2013</v>
      </c>
      <c r="J361" s="4">
        <v>41437</v>
      </c>
      <c r="K361" s="6">
        <v>0.83333333333333337</v>
      </c>
      <c r="L361" s="3">
        <v>14</v>
      </c>
      <c r="M361" s="3" t="s">
        <v>352</v>
      </c>
      <c r="N361" s="3" t="s">
        <v>352</v>
      </c>
      <c r="O361" s="5"/>
      <c r="P361" s="3" t="s">
        <v>22</v>
      </c>
      <c r="Q361" s="7"/>
      <c r="R361" s="7"/>
    </row>
    <row r="362" spans="1:18" ht="76.5" x14ac:dyDescent="0.25">
      <c r="A362" s="3" t="s">
        <v>18</v>
      </c>
      <c r="B362" s="3">
        <v>2013</v>
      </c>
      <c r="C362" s="3" t="s">
        <v>19</v>
      </c>
      <c r="D362" s="3" t="str">
        <f>"391 / 2013"</f>
        <v>391 / 2013</v>
      </c>
      <c r="E362" s="4">
        <v>41450</v>
      </c>
      <c r="F362" s="3" t="s">
        <v>849</v>
      </c>
      <c r="G362" s="5"/>
      <c r="H362" s="3" t="s">
        <v>850</v>
      </c>
      <c r="I362" s="3" t="str">
        <f t="shared" si="21"/>
        <v>14 / 12-06-2013</v>
      </c>
      <c r="J362" s="4">
        <v>41437</v>
      </c>
      <c r="K362" s="6">
        <v>0.83333333333333337</v>
      </c>
      <c r="L362" s="3">
        <v>14</v>
      </c>
      <c r="M362" s="3" t="s">
        <v>352</v>
      </c>
      <c r="N362" s="3" t="s">
        <v>352</v>
      </c>
      <c r="O362" s="5"/>
      <c r="P362" s="3" t="s">
        <v>22</v>
      </c>
      <c r="Q362" s="7"/>
      <c r="R362" s="7"/>
    </row>
    <row r="363" spans="1:18" ht="76.5" x14ac:dyDescent="0.25">
      <c r="A363" s="3" t="s">
        <v>18</v>
      </c>
      <c r="B363" s="3">
        <v>2013</v>
      </c>
      <c r="C363" s="3" t="s">
        <v>19</v>
      </c>
      <c r="D363" s="3" t="str">
        <f>"392 / 2013"</f>
        <v>392 / 2013</v>
      </c>
      <c r="E363" s="4">
        <v>41446</v>
      </c>
      <c r="F363" s="3" t="s">
        <v>851</v>
      </c>
      <c r="G363" s="5"/>
      <c r="H363" s="3" t="s">
        <v>852</v>
      </c>
      <c r="I363" s="3" t="str">
        <f t="shared" si="21"/>
        <v>14 / 12-06-2013</v>
      </c>
      <c r="J363" s="4">
        <v>41437</v>
      </c>
      <c r="K363" s="6">
        <v>0.83333333333333337</v>
      </c>
      <c r="L363" s="3">
        <v>15</v>
      </c>
      <c r="M363" s="3" t="s">
        <v>352</v>
      </c>
      <c r="N363" s="3" t="s">
        <v>352</v>
      </c>
      <c r="O363" s="5"/>
      <c r="P363" s="3" t="s">
        <v>22</v>
      </c>
      <c r="Q363" s="7"/>
      <c r="R363" s="7"/>
    </row>
    <row r="364" spans="1:18" ht="140.25" x14ac:dyDescent="0.25">
      <c r="A364" s="3" t="s">
        <v>18</v>
      </c>
      <c r="B364" s="3">
        <v>2013</v>
      </c>
      <c r="C364" s="3" t="s">
        <v>19</v>
      </c>
      <c r="D364" s="3" t="str">
        <f>"393 / 2013"</f>
        <v>393 / 2013</v>
      </c>
      <c r="E364" s="4">
        <v>41443</v>
      </c>
      <c r="F364" s="3" t="s">
        <v>853</v>
      </c>
      <c r="G364" s="5"/>
      <c r="H364" s="3" t="s">
        <v>854</v>
      </c>
      <c r="I364" s="3" t="str">
        <f t="shared" si="21"/>
        <v>14 / 12-06-2013</v>
      </c>
      <c r="J364" s="4">
        <v>41437</v>
      </c>
      <c r="K364" s="6">
        <v>0.83333333333333337</v>
      </c>
      <c r="L364" s="3">
        <v>16</v>
      </c>
      <c r="M364" s="3" t="s">
        <v>324</v>
      </c>
      <c r="N364" s="3" t="s">
        <v>324</v>
      </c>
      <c r="O364" s="5"/>
      <c r="P364" s="3" t="s">
        <v>22</v>
      </c>
      <c r="Q364" s="7"/>
      <c r="R364" s="7"/>
    </row>
    <row r="365" spans="1:18" ht="89.25" x14ac:dyDescent="0.25">
      <c r="A365" s="3" t="s">
        <v>18</v>
      </c>
      <c r="B365" s="3">
        <v>2013</v>
      </c>
      <c r="C365" s="3" t="s">
        <v>19</v>
      </c>
      <c r="D365" s="3" t="str">
        <f>"394 / 2013"</f>
        <v>394 / 2013</v>
      </c>
      <c r="E365" s="4">
        <v>41459</v>
      </c>
      <c r="F365" s="3" t="s">
        <v>855</v>
      </c>
      <c r="G365" s="5"/>
      <c r="H365" s="3" t="s">
        <v>856</v>
      </c>
      <c r="I365" s="3" t="str">
        <f t="shared" si="21"/>
        <v>14 / 12-06-2013</v>
      </c>
      <c r="J365" s="4">
        <v>41437</v>
      </c>
      <c r="K365" s="6">
        <v>0.83333333333333337</v>
      </c>
      <c r="L365" s="3">
        <v>17</v>
      </c>
      <c r="M365" s="3" t="s">
        <v>327</v>
      </c>
      <c r="N365" s="3" t="s">
        <v>327</v>
      </c>
      <c r="O365" s="5"/>
      <c r="P365" s="3" t="s">
        <v>22</v>
      </c>
      <c r="Q365" s="7"/>
      <c r="R365" s="7"/>
    </row>
    <row r="366" spans="1:18" ht="127.5" x14ac:dyDescent="0.25">
      <c r="A366" s="3" t="s">
        <v>18</v>
      </c>
      <c r="B366" s="3">
        <v>2013</v>
      </c>
      <c r="C366" s="3" t="s">
        <v>19</v>
      </c>
      <c r="D366" s="3" t="str">
        <f>"395 / 2013"</f>
        <v>395 / 2013</v>
      </c>
      <c r="E366" s="4">
        <v>41457</v>
      </c>
      <c r="F366" s="3" t="s">
        <v>857</v>
      </c>
      <c r="G366" s="5"/>
      <c r="H366" s="3" t="s">
        <v>858</v>
      </c>
      <c r="I366" s="3" t="str">
        <f t="shared" si="21"/>
        <v>14 / 12-06-2013</v>
      </c>
      <c r="J366" s="4">
        <v>41437</v>
      </c>
      <c r="K366" s="6">
        <v>0.83333333333333337</v>
      </c>
      <c r="L366" s="3">
        <v>19</v>
      </c>
      <c r="M366" s="3" t="s">
        <v>784</v>
      </c>
      <c r="N366" s="3" t="s">
        <v>784</v>
      </c>
      <c r="O366" s="5"/>
      <c r="P366" s="3" t="s">
        <v>22</v>
      </c>
      <c r="Q366" s="7"/>
      <c r="R366" s="7"/>
    </row>
    <row r="367" spans="1:18" ht="76.5" x14ac:dyDescent="0.25">
      <c r="A367" s="3" t="s">
        <v>18</v>
      </c>
      <c r="B367" s="3">
        <v>2013</v>
      </c>
      <c r="C367" s="3" t="s">
        <v>19</v>
      </c>
      <c r="D367" s="3" t="str">
        <f>"396 / 2013"</f>
        <v>396 / 2013</v>
      </c>
      <c r="E367" s="4">
        <v>41442</v>
      </c>
      <c r="F367" s="3" t="s">
        <v>859</v>
      </c>
      <c r="G367" s="5"/>
      <c r="H367" s="3" t="s">
        <v>860</v>
      </c>
      <c r="I367" s="3" t="str">
        <f t="shared" si="21"/>
        <v>14 / 12-06-2013</v>
      </c>
      <c r="J367" s="4">
        <v>41437</v>
      </c>
      <c r="K367" s="6">
        <v>0.83333333333333337</v>
      </c>
      <c r="L367" s="3">
        <v>20</v>
      </c>
      <c r="M367" s="3" t="s">
        <v>552</v>
      </c>
      <c r="N367" s="3" t="s">
        <v>552</v>
      </c>
      <c r="O367" s="5"/>
      <c r="P367" s="3" t="s">
        <v>22</v>
      </c>
      <c r="Q367" s="7"/>
      <c r="R367" s="7"/>
    </row>
    <row r="368" spans="1:18" ht="76.5" x14ac:dyDescent="0.25">
      <c r="A368" s="3" t="s">
        <v>18</v>
      </c>
      <c r="B368" s="3">
        <v>2013</v>
      </c>
      <c r="C368" s="3" t="s">
        <v>19</v>
      </c>
      <c r="D368" s="3" t="str">
        <f>"397 / 2013"</f>
        <v>397 / 2013</v>
      </c>
      <c r="E368" s="4">
        <v>41442</v>
      </c>
      <c r="F368" s="3" t="s">
        <v>861</v>
      </c>
      <c r="G368" s="5"/>
      <c r="H368" s="3" t="s">
        <v>862</v>
      </c>
      <c r="I368" s="3" t="str">
        <f t="shared" si="21"/>
        <v>14 / 12-06-2013</v>
      </c>
      <c r="J368" s="4">
        <v>41437</v>
      </c>
      <c r="K368" s="6">
        <v>0.83333333333333337</v>
      </c>
      <c r="L368" s="3">
        <v>20</v>
      </c>
      <c r="M368" s="3" t="s">
        <v>552</v>
      </c>
      <c r="N368" s="3" t="s">
        <v>552</v>
      </c>
      <c r="O368" s="5"/>
      <c r="P368" s="3" t="s">
        <v>22</v>
      </c>
      <c r="Q368" s="7"/>
      <c r="R368" s="7"/>
    </row>
    <row r="369" spans="1:18" ht="76.5" x14ac:dyDescent="0.25">
      <c r="A369" s="3" t="s">
        <v>18</v>
      </c>
      <c r="B369" s="3">
        <v>2013</v>
      </c>
      <c r="C369" s="3" t="s">
        <v>19</v>
      </c>
      <c r="D369" s="3" t="str">
        <f>"398 / 2013"</f>
        <v>398 / 2013</v>
      </c>
      <c r="E369" s="4">
        <v>41442</v>
      </c>
      <c r="F369" s="3" t="s">
        <v>863</v>
      </c>
      <c r="G369" s="5"/>
      <c r="H369" s="3" t="s">
        <v>864</v>
      </c>
      <c r="I369" s="3" t="str">
        <f t="shared" si="21"/>
        <v>14 / 12-06-2013</v>
      </c>
      <c r="J369" s="4">
        <v>41437</v>
      </c>
      <c r="K369" s="6">
        <v>0.83333333333333337</v>
      </c>
      <c r="L369" s="3">
        <v>20</v>
      </c>
      <c r="M369" s="3" t="s">
        <v>552</v>
      </c>
      <c r="N369" s="3" t="s">
        <v>552</v>
      </c>
      <c r="O369" s="5"/>
      <c r="P369" s="3" t="s">
        <v>22</v>
      </c>
      <c r="Q369" s="7"/>
      <c r="R369" s="7"/>
    </row>
    <row r="370" spans="1:18" ht="76.5" x14ac:dyDescent="0.25">
      <c r="A370" s="3" t="s">
        <v>18</v>
      </c>
      <c r="B370" s="3">
        <v>2013</v>
      </c>
      <c r="C370" s="3" t="s">
        <v>19</v>
      </c>
      <c r="D370" s="3" t="str">
        <f>"399 / 2013"</f>
        <v>399 / 2013</v>
      </c>
      <c r="E370" s="4">
        <v>41442</v>
      </c>
      <c r="F370" s="3" t="s">
        <v>865</v>
      </c>
      <c r="G370" s="5"/>
      <c r="H370" s="3" t="s">
        <v>866</v>
      </c>
      <c r="I370" s="3" t="str">
        <f t="shared" si="21"/>
        <v>14 / 12-06-2013</v>
      </c>
      <c r="J370" s="4">
        <v>41437</v>
      </c>
      <c r="K370" s="6">
        <v>0.83333333333333337</v>
      </c>
      <c r="L370" s="3">
        <v>20</v>
      </c>
      <c r="M370" s="3" t="s">
        <v>552</v>
      </c>
      <c r="N370" s="3" t="s">
        <v>552</v>
      </c>
      <c r="O370" s="5"/>
      <c r="P370" s="3" t="s">
        <v>22</v>
      </c>
      <c r="Q370" s="7"/>
      <c r="R370" s="7"/>
    </row>
    <row r="371" spans="1:18" ht="89.25" x14ac:dyDescent="0.25">
      <c r="A371" s="3" t="s">
        <v>18</v>
      </c>
      <c r="B371" s="3">
        <v>2013</v>
      </c>
      <c r="C371" s="3" t="s">
        <v>19</v>
      </c>
      <c r="D371" s="3" t="str">
        <f>"40/2013"</f>
        <v>40/2013</v>
      </c>
      <c r="E371" s="4">
        <v>41304</v>
      </c>
      <c r="F371" s="3" t="s">
        <v>867</v>
      </c>
      <c r="G371" s="5"/>
      <c r="H371" s="3" t="s">
        <v>868</v>
      </c>
      <c r="I371" s="3" t="str">
        <f>"4/30-01-2013"</f>
        <v>4/30-01-2013</v>
      </c>
      <c r="J371" s="4">
        <v>41304</v>
      </c>
      <c r="K371" s="6">
        <v>0.79166666666666663</v>
      </c>
      <c r="L371" s="3">
        <v>2</v>
      </c>
      <c r="M371" s="3" t="s">
        <v>869</v>
      </c>
      <c r="N371" s="3" t="s">
        <v>869</v>
      </c>
      <c r="O371" s="5"/>
      <c r="P371" s="3" t="s">
        <v>22</v>
      </c>
      <c r="Q371" s="7"/>
      <c r="R371" s="7"/>
    </row>
    <row r="372" spans="1:18" ht="76.5" x14ac:dyDescent="0.25">
      <c r="A372" s="3" t="s">
        <v>18</v>
      </c>
      <c r="B372" s="3">
        <v>2013</v>
      </c>
      <c r="C372" s="3" t="s">
        <v>19</v>
      </c>
      <c r="D372" s="3" t="str">
        <f>"400 / 2013"</f>
        <v>400 / 2013</v>
      </c>
      <c r="E372" s="4">
        <v>41442</v>
      </c>
      <c r="F372" s="3" t="s">
        <v>870</v>
      </c>
      <c r="G372" s="5"/>
      <c r="H372" s="3" t="s">
        <v>871</v>
      </c>
      <c r="I372" s="3" t="str">
        <f t="shared" ref="I372:I380" si="22">"14 / 12-06-2013"</f>
        <v>14 / 12-06-2013</v>
      </c>
      <c r="J372" s="4">
        <v>41437</v>
      </c>
      <c r="K372" s="6">
        <v>0.83333333333333337</v>
      </c>
      <c r="L372" s="3">
        <v>20</v>
      </c>
      <c r="M372" s="3" t="s">
        <v>552</v>
      </c>
      <c r="N372" s="3" t="s">
        <v>552</v>
      </c>
      <c r="O372" s="5"/>
      <c r="P372" s="3" t="s">
        <v>22</v>
      </c>
      <c r="Q372" s="7"/>
      <c r="R372" s="7"/>
    </row>
    <row r="373" spans="1:18" ht="76.5" x14ac:dyDescent="0.25">
      <c r="A373" s="3" t="s">
        <v>18</v>
      </c>
      <c r="B373" s="3">
        <v>2013</v>
      </c>
      <c r="C373" s="3" t="s">
        <v>19</v>
      </c>
      <c r="D373" s="3" t="str">
        <f>"401 / 2013"</f>
        <v>401 / 2013</v>
      </c>
      <c r="E373" s="4">
        <v>41442</v>
      </c>
      <c r="F373" s="3" t="s">
        <v>872</v>
      </c>
      <c r="G373" s="5"/>
      <c r="H373" s="3" t="s">
        <v>873</v>
      </c>
      <c r="I373" s="3" t="str">
        <f t="shared" si="22"/>
        <v>14 / 12-06-2013</v>
      </c>
      <c r="J373" s="4">
        <v>41437</v>
      </c>
      <c r="K373" s="6">
        <v>0.83333333333333337</v>
      </c>
      <c r="L373" s="3">
        <v>20</v>
      </c>
      <c r="M373" s="3" t="s">
        <v>552</v>
      </c>
      <c r="N373" s="3" t="s">
        <v>552</v>
      </c>
      <c r="O373" s="5"/>
      <c r="P373" s="3" t="s">
        <v>22</v>
      </c>
      <c r="Q373" s="7"/>
      <c r="R373" s="7"/>
    </row>
    <row r="374" spans="1:18" ht="76.5" x14ac:dyDescent="0.25">
      <c r="A374" s="3" t="s">
        <v>18</v>
      </c>
      <c r="B374" s="3">
        <v>2013</v>
      </c>
      <c r="C374" s="3" t="s">
        <v>19</v>
      </c>
      <c r="D374" s="3" t="str">
        <f>"402 / 2013"</f>
        <v>402 / 2013</v>
      </c>
      <c r="E374" s="4">
        <v>41442</v>
      </c>
      <c r="F374" s="3" t="s">
        <v>874</v>
      </c>
      <c r="G374" s="5"/>
      <c r="H374" s="3" t="s">
        <v>875</v>
      </c>
      <c r="I374" s="3" t="str">
        <f t="shared" si="22"/>
        <v>14 / 12-06-2013</v>
      </c>
      <c r="J374" s="4">
        <v>41437</v>
      </c>
      <c r="K374" s="6">
        <v>0.83333333333333337</v>
      </c>
      <c r="L374" s="3">
        <v>20</v>
      </c>
      <c r="M374" s="3" t="s">
        <v>552</v>
      </c>
      <c r="N374" s="3" t="s">
        <v>552</v>
      </c>
      <c r="O374" s="5"/>
      <c r="P374" s="3" t="s">
        <v>22</v>
      </c>
      <c r="Q374" s="7"/>
      <c r="R374" s="7"/>
    </row>
    <row r="375" spans="1:18" ht="76.5" x14ac:dyDescent="0.25">
      <c r="A375" s="3" t="s">
        <v>18</v>
      </c>
      <c r="B375" s="3">
        <v>2013</v>
      </c>
      <c r="C375" s="3" t="s">
        <v>19</v>
      </c>
      <c r="D375" s="3" t="str">
        <f>"403 / 2013"</f>
        <v>403 / 2013</v>
      </c>
      <c r="E375" s="4">
        <v>41442</v>
      </c>
      <c r="F375" s="3" t="s">
        <v>876</v>
      </c>
      <c r="G375" s="5"/>
      <c r="H375" s="3" t="s">
        <v>877</v>
      </c>
      <c r="I375" s="3" t="str">
        <f t="shared" si="22"/>
        <v>14 / 12-06-2013</v>
      </c>
      <c r="J375" s="4">
        <v>41437</v>
      </c>
      <c r="K375" s="6">
        <v>0.83333333333333337</v>
      </c>
      <c r="L375" s="3">
        <v>21</v>
      </c>
      <c r="M375" s="3" t="s">
        <v>552</v>
      </c>
      <c r="N375" s="3" t="s">
        <v>552</v>
      </c>
      <c r="O375" s="5"/>
      <c r="P375" s="3" t="s">
        <v>22</v>
      </c>
      <c r="Q375" s="7"/>
      <c r="R375" s="7"/>
    </row>
    <row r="376" spans="1:18" ht="76.5" x14ac:dyDescent="0.25">
      <c r="A376" s="3" t="s">
        <v>18</v>
      </c>
      <c r="B376" s="3">
        <v>2013</v>
      </c>
      <c r="C376" s="3" t="s">
        <v>19</v>
      </c>
      <c r="D376" s="3" t="str">
        <f>"404 / 2013"</f>
        <v>404 / 2013</v>
      </c>
      <c r="E376" s="4">
        <v>41443</v>
      </c>
      <c r="F376" s="3" t="s">
        <v>878</v>
      </c>
      <c r="G376" s="5"/>
      <c r="H376" s="3" t="s">
        <v>879</v>
      </c>
      <c r="I376" s="3" t="str">
        <f t="shared" si="22"/>
        <v>14 / 12-06-2013</v>
      </c>
      <c r="J376" s="4">
        <v>41437</v>
      </c>
      <c r="K376" s="6">
        <v>0.83333333333333337</v>
      </c>
      <c r="L376" s="3">
        <v>21</v>
      </c>
      <c r="M376" s="3" t="s">
        <v>552</v>
      </c>
      <c r="N376" s="3" t="s">
        <v>552</v>
      </c>
      <c r="O376" s="5"/>
      <c r="P376" s="3" t="s">
        <v>22</v>
      </c>
      <c r="Q376" s="7"/>
      <c r="R376" s="7"/>
    </row>
    <row r="377" spans="1:18" ht="76.5" x14ac:dyDescent="0.25">
      <c r="A377" s="3" t="s">
        <v>18</v>
      </c>
      <c r="B377" s="3">
        <v>2013</v>
      </c>
      <c r="C377" s="3" t="s">
        <v>19</v>
      </c>
      <c r="D377" s="3" t="str">
        <f>"405 / 2013"</f>
        <v>405 / 2013</v>
      </c>
      <c r="E377" s="4">
        <v>41442</v>
      </c>
      <c r="F377" s="3" t="s">
        <v>880</v>
      </c>
      <c r="G377" s="5"/>
      <c r="H377" s="3" t="s">
        <v>881</v>
      </c>
      <c r="I377" s="3" t="str">
        <f t="shared" si="22"/>
        <v>14 / 12-06-2013</v>
      </c>
      <c r="J377" s="4">
        <v>41437</v>
      </c>
      <c r="K377" s="6">
        <v>0.83333333333333337</v>
      </c>
      <c r="L377" s="3">
        <v>22</v>
      </c>
      <c r="M377" s="3" t="s">
        <v>552</v>
      </c>
      <c r="N377" s="3" t="s">
        <v>552</v>
      </c>
      <c r="O377" s="5"/>
      <c r="P377" s="3" t="s">
        <v>22</v>
      </c>
      <c r="Q377" s="7"/>
      <c r="R377" s="7"/>
    </row>
    <row r="378" spans="1:18" ht="76.5" x14ac:dyDescent="0.25">
      <c r="A378" s="3" t="s">
        <v>18</v>
      </c>
      <c r="B378" s="3">
        <v>2013</v>
      </c>
      <c r="C378" s="3" t="s">
        <v>19</v>
      </c>
      <c r="D378" s="3" t="str">
        <f>"406 / 2013"</f>
        <v>406 / 2013</v>
      </c>
      <c r="E378" s="4">
        <v>41445</v>
      </c>
      <c r="F378" s="3" t="s">
        <v>882</v>
      </c>
      <c r="G378" s="5"/>
      <c r="H378" s="3" t="s">
        <v>883</v>
      </c>
      <c r="I378" s="3" t="str">
        <f t="shared" si="22"/>
        <v>14 / 12-06-2013</v>
      </c>
      <c r="J378" s="4">
        <v>41437</v>
      </c>
      <c r="K378" s="6">
        <v>0.83333333333333337</v>
      </c>
      <c r="L378" s="3">
        <v>23</v>
      </c>
      <c r="M378" s="3" t="s">
        <v>552</v>
      </c>
      <c r="N378" s="3" t="s">
        <v>552</v>
      </c>
      <c r="O378" s="5"/>
      <c r="P378" s="3" t="s">
        <v>22</v>
      </c>
      <c r="Q378" s="7"/>
      <c r="R378" s="7"/>
    </row>
    <row r="379" spans="1:18" ht="63.75" x14ac:dyDescent="0.25">
      <c r="A379" s="3" t="s">
        <v>18</v>
      </c>
      <c r="B379" s="3">
        <v>2013</v>
      </c>
      <c r="C379" s="3" t="s">
        <v>19</v>
      </c>
      <c r="D379" s="3" t="str">
        <f>"407 / 2013"</f>
        <v>407 / 2013</v>
      </c>
      <c r="E379" s="4">
        <v>41439</v>
      </c>
      <c r="F379" s="3" t="s">
        <v>884</v>
      </c>
      <c r="G379" s="5"/>
      <c r="H379" s="3" t="s">
        <v>885</v>
      </c>
      <c r="I379" s="3" t="str">
        <f t="shared" si="22"/>
        <v>14 / 12-06-2013</v>
      </c>
      <c r="J379" s="4">
        <v>41437</v>
      </c>
      <c r="K379" s="6">
        <v>0.83333333333333337</v>
      </c>
      <c r="L379" s="3">
        <v>24</v>
      </c>
      <c r="M379" s="3" t="s">
        <v>56</v>
      </c>
      <c r="N379" s="3" t="s">
        <v>56</v>
      </c>
      <c r="O379" s="5"/>
      <c r="P379" s="3" t="s">
        <v>22</v>
      </c>
      <c r="Q379" s="7"/>
      <c r="R379" s="7"/>
    </row>
    <row r="380" spans="1:18" ht="76.5" x14ac:dyDescent="0.25">
      <c r="A380" s="3" t="s">
        <v>18</v>
      </c>
      <c r="B380" s="3">
        <v>2013</v>
      </c>
      <c r="C380" s="3" t="s">
        <v>19</v>
      </c>
      <c r="D380" s="3" t="str">
        <f>"409 / 2013"</f>
        <v>409 / 2013</v>
      </c>
      <c r="E380" s="4">
        <v>41439</v>
      </c>
      <c r="F380" s="3" t="s">
        <v>886</v>
      </c>
      <c r="G380" s="5"/>
      <c r="H380" s="3" t="s">
        <v>887</v>
      </c>
      <c r="I380" s="3" t="str">
        <f t="shared" si="22"/>
        <v>14 / 12-06-2013</v>
      </c>
      <c r="J380" s="4">
        <v>41437</v>
      </c>
      <c r="K380" s="6">
        <v>0.83333333333333337</v>
      </c>
      <c r="L380" s="3">
        <v>26</v>
      </c>
      <c r="M380" s="3" t="s">
        <v>56</v>
      </c>
      <c r="N380" s="3" t="s">
        <v>56</v>
      </c>
      <c r="O380" s="5"/>
      <c r="P380" s="3" t="s">
        <v>22</v>
      </c>
      <c r="Q380" s="7"/>
      <c r="R380" s="7"/>
    </row>
    <row r="381" spans="1:18" ht="89.25" x14ac:dyDescent="0.25">
      <c r="A381" s="3" t="s">
        <v>18</v>
      </c>
      <c r="B381" s="3">
        <v>2013</v>
      </c>
      <c r="C381" s="3" t="s">
        <v>19</v>
      </c>
      <c r="D381" s="3" t="str">
        <f>"41/2013"</f>
        <v>41/2013</v>
      </c>
      <c r="E381" s="4">
        <v>41304</v>
      </c>
      <c r="F381" s="3" t="s">
        <v>888</v>
      </c>
      <c r="G381" s="5"/>
      <c r="H381" s="3" t="s">
        <v>889</v>
      </c>
      <c r="I381" s="3" t="str">
        <f>"4/30-01-2013"</f>
        <v>4/30-01-2013</v>
      </c>
      <c r="J381" s="4">
        <v>41304</v>
      </c>
      <c r="K381" s="6">
        <v>0.79166666666666663</v>
      </c>
      <c r="L381" s="3">
        <v>2</v>
      </c>
      <c r="M381" s="3" t="s">
        <v>890</v>
      </c>
      <c r="N381" s="3" t="s">
        <v>890</v>
      </c>
      <c r="O381" s="5"/>
      <c r="P381" s="3" t="s">
        <v>22</v>
      </c>
      <c r="Q381" s="7"/>
      <c r="R381" s="7"/>
    </row>
    <row r="382" spans="1:18" ht="51" x14ac:dyDescent="0.25">
      <c r="A382" s="3" t="s">
        <v>18</v>
      </c>
      <c r="B382" s="3">
        <v>2013</v>
      </c>
      <c r="C382" s="3" t="s">
        <v>19</v>
      </c>
      <c r="D382" s="3" t="str">
        <f>"410 / 2013"</f>
        <v>410 / 2013</v>
      </c>
      <c r="E382" s="4">
        <v>41439</v>
      </c>
      <c r="F382" s="3" t="s">
        <v>891</v>
      </c>
      <c r="G382" s="5"/>
      <c r="H382" s="3" t="s">
        <v>892</v>
      </c>
      <c r="I382" s="3" t="str">
        <f>"14 / 12-06-2013"</f>
        <v>14 / 12-06-2013</v>
      </c>
      <c r="J382" s="4">
        <v>41437</v>
      </c>
      <c r="K382" s="6">
        <v>0.83333333333333337</v>
      </c>
      <c r="L382" s="3">
        <v>27</v>
      </c>
      <c r="M382" s="3" t="s">
        <v>56</v>
      </c>
      <c r="N382" s="3" t="s">
        <v>56</v>
      </c>
      <c r="O382" s="5"/>
      <c r="P382" s="3" t="s">
        <v>22</v>
      </c>
      <c r="Q382" s="7"/>
      <c r="R382" s="7"/>
    </row>
    <row r="383" spans="1:18" ht="51" x14ac:dyDescent="0.25">
      <c r="A383" s="3" t="s">
        <v>18</v>
      </c>
      <c r="B383" s="3">
        <v>2013</v>
      </c>
      <c r="C383" s="3" t="s">
        <v>19</v>
      </c>
      <c r="D383" s="3" t="str">
        <f>"413 / 2013"</f>
        <v>413 / 2013</v>
      </c>
      <c r="E383" s="4">
        <v>41438</v>
      </c>
      <c r="F383" s="3" t="s">
        <v>893</v>
      </c>
      <c r="G383" s="5"/>
      <c r="H383" s="3" t="s">
        <v>894</v>
      </c>
      <c r="I383" s="3" t="str">
        <f>"14 / 12-06-2013"</f>
        <v>14 / 12-06-2013</v>
      </c>
      <c r="J383" s="4">
        <v>41437</v>
      </c>
      <c r="K383" s="6">
        <v>0.83333333333333337</v>
      </c>
      <c r="L383" s="3">
        <v>29</v>
      </c>
      <c r="M383" s="3" t="s">
        <v>32</v>
      </c>
      <c r="N383" s="3" t="s">
        <v>32</v>
      </c>
      <c r="O383" s="5"/>
      <c r="P383" s="3" t="s">
        <v>22</v>
      </c>
      <c r="Q383" s="7"/>
      <c r="R383" s="7"/>
    </row>
    <row r="384" spans="1:18" ht="76.5" x14ac:dyDescent="0.25">
      <c r="A384" s="3" t="s">
        <v>18</v>
      </c>
      <c r="B384" s="3">
        <v>2013</v>
      </c>
      <c r="C384" s="3" t="s">
        <v>19</v>
      </c>
      <c r="D384" s="3" t="str">
        <f>"414 / 2013"</f>
        <v>414 / 2013</v>
      </c>
      <c r="E384" s="4">
        <v>41438</v>
      </c>
      <c r="F384" s="3" t="s">
        <v>895</v>
      </c>
      <c r="G384" s="5"/>
      <c r="H384" s="3" t="s">
        <v>896</v>
      </c>
      <c r="I384" s="3" t="str">
        <f>"14 / 12-06-2013"</f>
        <v>14 / 12-06-2013</v>
      </c>
      <c r="J384" s="4">
        <v>41437</v>
      </c>
      <c r="K384" s="6">
        <v>0.83333333333333337</v>
      </c>
      <c r="L384" s="3">
        <v>29</v>
      </c>
      <c r="M384" s="3" t="s">
        <v>32</v>
      </c>
      <c r="N384" s="3" t="s">
        <v>32</v>
      </c>
      <c r="O384" s="5"/>
      <c r="P384" s="3" t="s">
        <v>22</v>
      </c>
      <c r="Q384" s="7"/>
      <c r="R384" s="7"/>
    </row>
    <row r="385" spans="1:18" ht="63.75" x14ac:dyDescent="0.25">
      <c r="A385" s="3" t="s">
        <v>18</v>
      </c>
      <c r="B385" s="3">
        <v>2013</v>
      </c>
      <c r="C385" s="3" t="s">
        <v>19</v>
      </c>
      <c r="D385" s="3" t="str">
        <f>"415 / 2013"</f>
        <v>415 / 2013</v>
      </c>
      <c r="E385" s="4">
        <v>41444</v>
      </c>
      <c r="F385" s="3" t="s">
        <v>897</v>
      </c>
      <c r="G385" s="5"/>
      <c r="H385" s="3" t="s">
        <v>898</v>
      </c>
      <c r="I385" s="3" t="str">
        <f>"14 / 12-06-2013"</f>
        <v>14 / 12-06-2013</v>
      </c>
      <c r="J385" s="4">
        <v>41437</v>
      </c>
      <c r="K385" s="6">
        <v>0.83333333333333337</v>
      </c>
      <c r="L385" s="5"/>
      <c r="M385" s="3" t="s">
        <v>333</v>
      </c>
      <c r="N385" s="3" t="s">
        <v>333</v>
      </c>
      <c r="O385" s="5"/>
      <c r="P385" s="3" t="s">
        <v>74</v>
      </c>
      <c r="Q385" s="7"/>
      <c r="R385" s="7"/>
    </row>
    <row r="386" spans="1:18" ht="89.25" x14ac:dyDescent="0.25">
      <c r="A386" s="3" t="s">
        <v>18</v>
      </c>
      <c r="B386" s="3">
        <v>2013</v>
      </c>
      <c r="C386" s="3" t="s">
        <v>19</v>
      </c>
      <c r="D386" s="3" t="str">
        <f>"419 / 2013"</f>
        <v>419 / 2013</v>
      </c>
      <c r="E386" s="4">
        <v>41465</v>
      </c>
      <c r="F386" s="3" t="s">
        <v>899</v>
      </c>
      <c r="G386" s="5"/>
      <c r="H386" s="3" t="s">
        <v>900</v>
      </c>
      <c r="I386" s="3" t="str">
        <f>"15 / 26-06-2013"</f>
        <v>15 / 26-06-2013</v>
      </c>
      <c r="J386" s="4">
        <v>41451</v>
      </c>
      <c r="K386" s="6">
        <v>0.83333333333333337</v>
      </c>
      <c r="L386" s="3">
        <v>2</v>
      </c>
      <c r="M386" s="3" t="s">
        <v>838</v>
      </c>
      <c r="N386" s="3" t="s">
        <v>838</v>
      </c>
      <c r="O386" s="5"/>
      <c r="P386" s="3" t="s">
        <v>22</v>
      </c>
      <c r="Q386" s="7"/>
      <c r="R386" s="7"/>
    </row>
    <row r="387" spans="1:18" ht="38.25" x14ac:dyDescent="0.25">
      <c r="A387" s="3" t="s">
        <v>18</v>
      </c>
      <c r="B387" s="3">
        <v>2013</v>
      </c>
      <c r="C387" s="3" t="s">
        <v>19</v>
      </c>
      <c r="D387" s="3" t="str">
        <f>"42/2013"</f>
        <v>42/2013</v>
      </c>
      <c r="E387" s="4">
        <v>41304</v>
      </c>
      <c r="F387" s="3" t="s">
        <v>901</v>
      </c>
      <c r="G387" s="5"/>
      <c r="H387" s="3" t="s">
        <v>902</v>
      </c>
      <c r="I387" s="3" t="str">
        <f>"4/30-01-2013"</f>
        <v>4/30-01-2013</v>
      </c>
      <c r="J387" s="4">
        <v>41304</v>
      </c>
      <c r="K387" s="6">
        <v>0.79166666666666663</v>
      </c>
      <c r="L387" s="3">
        <v>3</v>
      </c>
      <c r="M387" s="3" t="s">
        <v>185</v>
      </c>
      <c r="N387" s="3" t="s">
        <v>185</v>
      </c>
      <c r="O387" s="5"/>
      <c r="P387" s="3" t="s">
        <v>22</v>
      </c>
      <c r="Q387" s="7"/>
      <c r="R387" s="7"/>
    </row>
    <row r="388" spans="1:18" ht="102" x14ac:dyDescent="0.25">
      <c r="A388" s="3" t="s">
        <v>18</v>
      </c>
      <c r="B388" s="3">
        <v>2013</v>
      </c>
      <c r="C388" s="3" t="s">
        <v>19</v>
      </c>
      <c r="D388" s="3" t="str">
        <f>"420 / 2013"</f>
        <v>420 / 2013</v>
      </c>
      <c r="E388" s="4">
        <v>41428</v>
      </c>
      <c r="F388" s="3" t="s">
        <v>903</v>
      </c>
      <c r="G388" s="5"/>
      <c r="H388" s="3" t="s">
        <v>904</v>
      </c>
      <c r="I388" s="3" t="str">
        <f>"15 / 26-06-2013"</f>
        <v>15 / 26-06-2013</v>
      </c>
      <c r="J388" s="4">
        <v>41451</v>
      </c>
      <c r="K388" s="6">
        <v>0.83333333333333337</v>
      </c>
      <c r="L388" s="3">
        <v>3</v>
      </c>
      <c r="M388" s="3" t="s">
        <v>324</v>
      </c>
      <c r="N388" s="3" t="s">
        <v>324</v>
      </c>
      <c r="O388" s="5"/>
      <c r="P388" s="3" t="s">
        <v>22</v>
      </c>
      <c r="Q388" s="7"/>
      <c r="R388" s="7"/>
    </row>
    <row r="389" spans="1:18" ht="63.75" x14ac:dyDescent="0.25">
      <c r="A389" s="3" t="s">
        <v>18</v>
      </c>
      <c r="B389" s="3">
        <v>2013</v>
      </c>
      <c r="C389" s="3" t="s">
        <v>19</v>
      </c>
      <c r="D389" s="3" t="str">
        <f>"421 / 2013"</f>
        <v>421 / 2013</v>
      </c>
      <c r="E389" s="4">
        <v>41479</v>
      </c>
      <c r="F389" s="3" t="s">
        <v>905</v>
      </c>
      <c r="G389" s="5"/>
      <c r="H389" s="3" t="s">
        <v>906</v>
      </c>
      <c r="I389" s="3" t="str">
        <f>"15 / 26-06-2013"</f>
        <v>15 / 26-06-2013</v>
      </c>
      <c r="J389" s="4">
        <v>41451</v>
      </c>
      <c r="K389" s="6">
        <v>0.83333333333333337</v>
      </c>
      <c r="L389" s="3">
        <v>4</v>
      </c>
      <c r="M389" s="3" t="s">
        <v>822</v>
      </c>
      <c r="N389" s="3" t="s">
        <v>655</v>
      </c>
      <c r="O389" s="5"/>
      <c r="P389" s="3" t="s">
        <v>22</v>
      </c>
      <c r="Q389" s="7"/>
      <c r="R389" s="7"/>
    </row>
    <row r="390" spans="1:18" ht="76.5" x14ac:dyDescent="0.25">
      <c r="A390" s="3" t="s">
        <v>18</v>
      </c>
      <c r="B390" s="3">
        <v>2013</v>
      </c>
      <c r="C390" s="3" t="s">
        <v>19</v>
      </c>
      <c r="D390" s="3" t="str">
        <f>"422 / 2013"</f>
        <v>422 / 2013</v>
      </c>
      <c r="E390" s="4">
        <v>41465</v>
      </c>
      <c r="F390" s="3" t="s">
        <v>907</v>
      </c>
      <c r="G390" s="5"/>
      <c r="H390" s="3" t="s">
        <v>908</v>
      </c>
      <c r="I390" s="3" t="str">
        <f>"15 / 26-06-2013"</f>
        <v>15 / 26-06-2013</v>
      </c>
      <c r="J390" s="4">
        <v>41451</v>
      </c>
      <c r="K390" s="6">
        <v>0.83333333333333337</v>
      </c>
      <c r="L390" s="3">
        <v>5</v>
      </c>
      <c r="M390" s="3" t="s">
        <v>909</v>
      </c>
      <c r="N390" s="3" t="s">
        <v>910</v>
      </c>
      <c r="O390" s="5"/>
      <c r="P390" s="3" t="s">
        <v>22</v>
      </c>
      <c r="Q390" s="7"/>
      <c r="R390" s="7"/>
    </row>
    <row r="391" spans="1:18" ht="127.5" x14ac:dyDescent="0.25">
      <c r="A391" s="3" t="s">
        <v>18</v>
      </c>
      <c r="B391" s="3">
        <v>2013</v>
      </c>
      <c r="C391" s="3" t="s">
        <v>19</v>
      </c>
      <c r="D391" s="3" t="str">
        <f>"423 / 2013"</f>
        <v>423 / 2013</v>
      </c>
      <c r="E391" s="4">
        <v>41442</v>
      </c>
      <c r="F391" s="3" t="s">
        <v>911</v>
      </c>
      <c r="G391" s="5"/>
      <c r="H391" s="3" t="s">
        <v>912</v>
      </c>
      <c r="I391" s="3" t="str">
        <f>"15 / 26-06-2013"</f>
        <v>15 / 26-06-2013</v>
      </c>
      <c r="J391" s="4">
        <v>41451</v>
      </c>
      <c r="K391" s="6">
        <v>0.83333333333333337</v>
      </c>
      <c r="L391" s="3">
        <v>6</v>
      </c>
      <c r="M391" s="3" t="s">
        <v>913</v>
      </c>
      <c r="N391" s="3" t="s">
        <v>910</v>
      </c>
      <c r="O391" s="5"/>
      <c r="P391" s="3" t="s">
        <v>22</v>
      </c>
      <c r="Q391" s="7"/>
      <c r="R391" s="7"/>
    </row>
    <row r="392" spans="1:18" ht="76.5" x14ac:dyDescent="0.25">
      <c r="A392" s="3" t="s">
        <v>18</v>
      </c>
      <c r="B392" s="3">
        <v>2013</v>
      </c>
      <c r="C392" s="3" t="s">
        <v>19</v>
      </c>
      <c r="D392" s="3" t="str">
        <f>"424 / 2013"</f>
        <v>424 / 2013</v>
      </c>
      <c r="E392" s="4">
        <v>41470</v>
      </c>
      <c r="F392" s="3" t="s">
        <v>914</v>
      </c>
      <c r="G392" s="5"/>
      <c r="H392" s="3" t="s">
        <v>915</v>
      </c>
      <c r="I392" s="3" t="str">
        <f>"16 / 10-07-2013"</f>
        <v>16 / 10-07-2013</v>
      </c>
      <c r="J392" s="4">
        <v>41465</v>
      </c>
      <c r="K392" s="6">
        <v>0.79166666666666663</v>
      </c>
      <c r="L392" s="3">
        <v>7</v>
      </c>
      <c r="M392" s="3" t="s">
        <v>916</v>
      </c>
      <c r="N392" s="3" t="s">
        <v>917</v>
      </c>
      <c r="O392" s="5"/>
      <c r="P392" s="3" t="s">
        <v>22</v>
      </c>
      <c r="Q392" s="7"/>
      <c r="R392" s="7"/>
    </row>
    <row r="393" spans="1:18" ht="153" x14ac:dyDescent="0.25">
      <c r="A393" s="3" t="s">
        <v>18</v>
      </c>
      <c r="B393" s="3">
        <v>2013</v>
      </c>
      <c r="C393" s="3" t="s">
        <v>19</v>
      </c>
      <c r="D393" s="3" t="str">
        <f>"425 / 2013"</f>
        <v>425 / 2013</v>
      </c>
      <c r="E393" s="4">
        <v>41522</v>
      </c>
      <c r="F393" s="3" t="s">
        <v>918</v>
      </c>
      <c r="G393" s="5"/>
      <c r="H393" s="3" t="s">
        <v>919</v>
      </c>
      <c r="I393" s="3" t="str">
        <f>"15 / 26-06-2013"</f>
        <v>15 / 26-06-2013</v>
      </c>
      <c r="J393" s="4">
        <v>41451</v>
      </c>
      <c r="K393" s="6">
        <v>0.83333333333333337</v>
      </c>
      <c r="L393" s="3">
        <v>7</v>
      </c>
      <c r="M393" s="3" t="s">
        <v>916</v>
      </c>
      <c r="N393" s="3" t="s">
        <v>920</v>
      </c>
      <c r="O393" s="5"/>
      <c r="P393" s="3" t="s">
        <v>22</v>
      </c>
      <c r="Q393" s="7"/>
      <c r="R393" s="7"/>
    </row>
    <row r="394" spans="1:18" ht="76.5" x14ac:dyDescent="0.25">
      <c r="A394" s="3" t="s">
        <v>18</v>
      </c>
      <c r="B394" s="3">
        <v>2013</v>
      </c>
      <c r="C394" s="3" t="s">
        <v>19</v>
      </c>
      <c r="D394" s="3" t="str">
        <f>"426 / 2013"</f>
        <v>426 / 2013</v>
      </c>
      <c r="E394" s="4">
        <v>41470</v>
      </c>
      <c r="F394" s="3" t="s">
        <v>921</v>
      </c>
      <c r="G394" s="5"/>
      <c r="H394" s="3" t="s">
        <v>922</v>
      </c>
      <c r="I394" s="3" t="str">
        <f>"16 / 10-07-2013"</f>
        <v>16 / 10-07-2013</v>
      </c>
      <c r="J394" s="4">
        <v>41465</v>
      </c>
      <c r="K394" s="6">
        <v>0.79166666666666663</v>
      </c>
      <c r="L394" s="3">
        <v>7</v>
      </c>
      <c r="M394" s="3" t="s">
        <v>916</v>
      </c>
      <c r="N394" s="3" t="s">
        <v>923</v>
      </c>
      <c r="O394" s="5"/>
      <c r="P394" s="3" t="s">
        <v>22</v>
      </c>
      <c r="Q394" s="7"/>
      <c r="R394" s="7"/>
    </row>
    <row r="395" spans="1:18" ht="102" x14ac:dyDescent="0.25">
      <c r="A395" s="3" t="s">
        <v>18</v>
      </c>
      <c r="B395" s="3">
        <v>2013</v>
      </c>
      <c r="C395" s="3" t="s">
        <v>19</v>
      </c>
      <c r="D395" s="3" t="str">
        <f>"427 / 2013"</f>
        <v>427 / 2013</v>
      </c>
      <c r="E395" s="4">
        <v>41452</v>
      </c>
      <c r="F395" s="3" t="s">
        <v>924</v>
      </c>
      <c r="G395" s="5"/>
      <c r="H395" s="3" t="s">
        <v>925</v>
      </c>
      <c r="I395" s="3" t="str">
        <f>"15 / 26-06-2013"</f>
        <v>15 / 26-06-2013</v>
      </c>
      <c r="J395" s="4">
        <v>41451</v>
      </c>
      <c r="K395" s="6">
        <v>0.83333333333333337</v>
      </c>
      <c r="L395" s="3">
        <v>8</v>
      </c>
      <c r="M395" s="3" t="s">
        <v>916</v>
      </c>
      <c r="N395" s="3" t="s">
        <v>389</v>
      </c>
      <c r="O395" s="5"/>
      <c r="P395" s="3" t="s">
        <v>22</v>
      </c>
      <c r="Q395" s="7"/>
      <c r="R395" s="7"/>
    </row>
    <row r="396" spans="1:18" ht="114.75" x14ac:dyDescent="0.25">
      <c r="A396" s="3" t="s">
        <v>18</v>
      </c>
      <c r="B396" s="3">
        <v>2013</v>
      </c>
      <c r="C396" s="3" t="s">
        <v>19</v>
      </c>
      <c r="D396" s="3" t="str">
        <f>"428 / 2013"</f>
        <v>428 / 2013</v>
      </c>
      <c r="E396" s="4">
        <v>41459</v>
      </c>
      <c r="F396" s="3" t="s">
        <v>926</v>
      </c>
      <c r="G396" s="5"/>
      <c r="H396" s="3" t="s">
        <v>927</v>
      </c>
      <c r="I396" s="3" t="str">
        <f>"15 / 26-06-2013"</f>
        <v>15 / 26-06-2013</v>
      </c>
      <c r="J396" s="4">
        <v>41451</v>
      </c>
      <c r="K396" s="6">
        <v>0.83333333333333337</v>
      </c>
      <c r="L396" s="3">
        <v>9</v>
      </c>
      <c r="M396" s="3" t="s">
        <v>829</v>
      </c>
      <c r="N396" s="3" t="s">
        <v>829</v>
      </c>
      <c r="O396" s="5"/>
      <c r="P396" s="3" t="s">
        <v>22</v>
      </c>
      <c r="Q396" s="7"/>
      <c r="R396" s="7"/>
    </row>
    <row r="397" spans="1:18" ht="51" x14ac:dyDescent="0.25">
      <c r="A397" s="3" t="s">
        <v>18</v>
      </c>
      <c r="B397" s="3">
        <v>2013</v>
      </c>
      <c r="C397" s="3" t="s">
        <v>19</v>
      </c>
      <c r="D397" s="3" t="str">
        <f>"429 / 2013"</f>
        <v>429 / 2013</v>
      </c>
      <c r="E397" s="4">
        <v>41457</v>
      </c>
      <c r="F397" s="3" t="s">
        <v>928</v>
      </c>
      <c r="G397" s="5"/>
      <c r="H397" s="3" t="s">
        <v>929</v>
      </c>
      <c r="I397" s="3" t="str">
        <f>"15 / 26-06-2013"</f>
        <v>15 / 26-06-2013</v>
      </c>
      <c r="J397" s="4">
        <v>41451</v>
      </c>
      <c r="K397" s="6">
        <v>0.83333333333333337</v>
      </c>
      <c r="L397" s="3">
        <v>12</v>
      </c>
      <c r="M397" s="3" t="s">
        <v>50</v>
      </c>
      <c r="N397" s="3" t="s">
        <v>50</v>
      </c>
      <c r="O397" s="5"/>
      <c r="P397" s="3" t="s">
        <v>22</v>
      </c>
      <c r="Q397" s="7"/>
      <c r="R397" s="7"/>
    </row>
    <row r="398" spans="1:18" ht="51" x14ac:dyDescent="0.25">
      <c r="A398" s="3" t="s">
        <v>18</v>
      </c>
      <c r="B398" s="3">
        <v>2013</v>
      </c>
      <c r="C398" s="3" t="s">
        <v>19</v>
      </c>
      <c r="D398" s="3" t="str">
        <f>"43/2013"</f>
        <v>43/2013</v>
      </c>
      <c r="E398" s="4">
        <v>41304</v>
      </c>
      <c r="F398" s="3" t="s">
        <v>930</v>
      </c>
      <c r="G398" s="5"/>
      <c r="H398" s="3" t="s">
        <v>931</v>
      </c>
      <c r="I398" s="3" t="str">
        <f>"4/30-01-2013"</f>
        <v>4/30-01-2013</v>
      </c>
      <c r="J398" s="4">
        <v>41304</v>
      </c>
      <c r="K398" s="6">
        <v>0.79166666666666663</v>
      </c>
      <c r="L398" s="3">
        <v>4</v>
      </c>
      <c r="M398" s="3" t="s">
        <v>932</v>
      </c>
      <c r="N398" s="3" t="s">
        <v>932</v>
      </c>
      <c r="O398" s="5"/>
      <c r="P398" s="3" t="s">
        <v>22</v>
      </c>
      <c r="Q398" s="7"/>
      <c r="R398" s="7"/>
    </row>
    <row r="399" spans="1:18" ht="114.75" x14ac:dyDescent="0.25">
      <c r="A399" s="3" t="s">
        <v>18</v>
      </c>
      <c r="B399" s="3">
        <v>2013</v>
      </c>
      <c r="C399" s="3" t="s">
        <v>19</v>
      </c>
      <c r="D399" s="3" t="str">
        <f>"430 / 2013"</f>
        <v>430 / 2013</v>
      </c>
      <c r="E399" s="4">
        <v>41428</v>
      </c>
      <c r="F399" s="3" t="s">
        <v>933</v>
      </c>
      <c r="G399" s="5"/>
      <c r="H399" s="3" t="s">
        <v>934</v>
      </c>
      <c r="I399" s="3" t="str">
        <f t="shared" ref="I399:I408" si="23">"15 / 26-06-2013"</f>
        <v>15 / 26-06-2013</v>
      </c>
      <c r="J399" s="4">
        <v>41451</v>
      </c>
      <c r="K399" s="6">
        <v>0.83333333333333337</v>
      </c>
      <c r="L399" s="3">
        <v>11</v>
      </c>
      <c r="M399" s="3" t="s">
        <v>525</v>
      </c>
      <c r="N399" s="3" t="s">
        <v>525</v>
      </c>
      <c r="O399" s="5"/>
      <c r="P399" s="3" t="s">
        <v>22</v>
      </c>
      <c r="Q399" s="7"/>
      <c r="R399" s="7"/>
    </row>
    <row r="400" spans="1:18" ht="114.75" x14ac:dyDescent="0.25">
      <c r="A400" s="3" t="s">
        <v>18</v>
      </c>
      <c r="B400" s="3">
        <v>2013</v>
      </c>
      <c r="C400" s="3" t="s">
        <v>19</v>
      </c>
      <c r="D400" s="3" t="str">
        <f>"431 / 2013"</f>
        <v>431 / 2013</v>
      </c>
      <c r="E400" s="4">
        <v>41453</v>
      </c>
      <c r="F400" s="3" t="s">
        <v>935</v>
      </c>
      <c r="G400" s="5"/>
      <c r="H400" s="3" t="s">
        <v>936</v>
      </c>
      <c r="I400" s="3" t="str">
        <f t="shared" si="23"/>
        <v>15 / 26-06-2013</v>
      </c>
      <c r="J400" s="4">
        <v>41451</v>
      </c>
      <c r="K400" s="6">
        <v>0.83333333333333337</v>
      </c>
      <c r="L400" s="3">
        <v>12</v>
      </c>
      <c r="M400" s="3" t="s">
        <v>937</v>
      </c>
      <c r="N400" s="3" t="s">
        <v>937</v>
      </c>
      <c r="O400" s="5"/>
      <c r="P400" s="3" t="s">
        <v>22</v>
      </c>
      <c r="Q400" s="7"/>
      <c r="R400" s="7"/>
    </row>
    <row r="401" spans="1:18" ht="63.75" x14ac:dyDescent="0.25">
      <c r="A401" s="3" t="s">
        <v>18</v>
      </c>
      <c r="B401" s="3">
        <v>2013</v>
      </c>
      <c r="C401" s="3" t="s">
        <v>19</v>
      </c>
      <c r="D401" s="3" t="str">
        <f>"432 / 2013"</f>
        <v>432 / 2013</v>
      </c>
      <c r="E401" s="4">
        <v>41453</v>
      </c>
      <c r="F401" s="3" t="s">
        <v>938</v>
      </c>
      <c r="G401" s="5"/>
      <c r="H401" s="3" t="s">
        <v>939</v>
      </c>
      <c r="I401" s="3" t="str">
        <f t="shared" si="23"/>
        <v>15 / 26-06-2013</v>
      </c>
      <c r="J401" s="4">
        <v>41451</v>
      </c>
      <c r="K401" s="6">
        <v>0.83333333333333337</v>
      </c>
      <c r="L401" s="3">
        <v>13</v>
      </c>
      <c r="M401" s="3" t="s">
        <v>50</v>
      </c>
      <c r="N401" s="3" t="s">
        <v>50</v>
      </c>
      <c r="O401" s="5"/>
      <c r="P401" s="3" t="s">
        <v>22</v>
      </c>
      <c r="Q401" s="7"/>
      <c r="R401" s="7"/>
    </row>
    <row r="402" spans="1:18" ht="76.5" x14ac:dyDescent="0.25">
      <c r="A402" s="3" t="s">
        <v>18</v>
      </c>
      <c r="B402" s="3">
        <v>2013</v>
      </c>
      <c r="C402" s="3" t="s">
        <v>19</v>
      </c>
      <c r="D402" s="3" t="str">
        <f>"433 / 2013"</f>
        <v>433 / 2013</v>
      </c>
      <c r="E402" s="4">
        <v>41457</v>
      </c>
      <c r="F402" s="3" t="s">
        <v>940</v>
      </c>
      <c r="G402" s="5"/>
      <c r="H402" s="3" t="s">
        <v>941</v>
      </c>
      <c r="I402" s="3" t="str">
        <f t="shared" si="23"/>
        <v>15 / 26-06-2013</v>
      </c>
      <c r="J402" s="4">
        <v>41451</v>
      </c>
      <c r="K402" s="6">
        <v>0.83333333333333337</v>
      </c>
      <c r="L402" s="3">
        <v>14</v>
      </c>
      <c r="M402" s="3" t="s">
        <v>126</v>
      </c>
      <c r="N402" s="3" t="s">
        <v>126</v>
      </c>
      <c r="O402" s="5"/>
      <c r="P402" s="3" t="s">
        <v>22</v>
      </c>
      <c r="Q402" s="7"/>
      <c r="R402" s="7"/>
    </row>
    <row r="403" spans="1:18" ht="63.75" x14ac:dyDescent="0.25">
      <c r="A403" s="3" t="s">
        <v>18</v>
      </c>
      <c r="B403" s="3">
        <v>2013</v>
      </c>
      <c r="C403" s="3" t="s">
        <v>19</v>
      </c>
      <c r="D403" s="3" t="str">
        <f>"434 / 2013"</f>
        <v>434 / 2013</v>
      </c>
      <c r="E403" s="4">
        <v>41457</v>
      </c>
      <c r="F403" s="3" t="s">
        <v>942</v>
      </c>
      <c r="G403" s="5"/>
      <c r="H403" s="3" t="s">
        <v>943</v>
      </c>
      <c r="I403" s="3" t="str">
        <f t="shared" si="23"/>
        <v>15 / 26-06-2013</v>
      </c>
      <c r="J403" s="4">
        <v>41451</v>
      </c>
      <c r="K403" s="6">
        <v>0.83333333333333337</v>
      </c>
      <c r="L403" s="3">
        <v>14</v>
      </c>
      <c r="M403" s="3" t="s">
        <v>126</v>
      </c>
      <c r="N403" s="3" t="s">
        <v>126</v>
      </c>
      <c r="O403" s="5"/>
      <c r="P403" s="3" t="s">
        <v>22</v>
      </c>
      <c r="Q403" s="7"/>
      <c r="R403" s="7"/>
    </row>
    <row r="404" spans="1:18" ht="76.5" x14ac:dyDescent="0.25">
      <c r="A404" s="3" t="s">
        <v>18</v>
      </c>
      <c r="B404" s="3">
        <v>2013</v>
      </c>
      <c r="C404" s="3" t="s">
        <v>19</v>
      </c>
      <c r="D404" s="3" t="str">
        <f>"435 / 2013"</f>
        <v>435 / 2013</v>
      </c>
      <c r="E404" s="4">
        <v>41466</v>
      </c>
      <c r="F404" s="3" t="s">
        <v>944</v>
      </c>
      <c r="G404" s="5"/>
      <c r="H404" s="3" t="s">
        <v>945</v>
      </c>
      <c r="I404" s="3" t="str">
        <f t="shared" si="23"/>
        <v>15 / 26-06-2013</v>
      </c>
      <c r="J404" s="4">
        <v>41451</v>
      </c>
      <c r="K404" s="6">
        <v>0.83333333333333337</v>
      </c>
      <c r="L404" s="3">
        <v>15</v>
      </c>
      <c r="M404" s="3" t="s">
        <v>754</v>
      </c>
      <c r="N404" s="3" t="s">
        <v>754</v>
      </c>
      <c r="O404" s="5"/>
      <c r="P404" s="3" t="s">
        <v>74</v>
      </c>
      <c r="Q404" s="7"/>
      <c r="R404" s="7"/>
    </row>
    <row r="405" spans="1:18" ht="76.5" x14ac:dyDescent="0.25">
      <c r="A405" s="3" t="s">
        <v>18</v>
      </c>
      <c r="B405" s="3">
        <v>2013</v>
      </c>
      <c r="C405" s="3" t="s">
        <v>19</v>
      </c>
      <c r="D405" s="3" t="str">
        <f>"436 / 2013"</f>
        <v>436 / 2013</v>
      </c>
      <c r="E405" s="4">
        <v>41453</v>
      </c>
      <c r="F405" s="3" t="s">
        <v>946</v>
      </c>
      <c r="G405" s="5"/>
      <c r="H405" s="3" t="s">
        <v>947</v>
      </c>
      <c r="I405" s="3" t="str">
        <f t="shared" si="23"/>
        <v>15 / 26-06-2013</v>
      </c>
      <c r="J405" s="4">
        <v>41451</v>
      </c>
      <c r="K405" s="6">
        <v>0.83333333333333337</v>
      </c>
      <c r="L405" s="3">
        <v>16</v>
      </c>
      <c r="M405" s="3" t="s">
        <v>552</v>
      </c>
      <c r="N405" s="3" t="s">
        <v>552</v>
      </c>
      <c r="O405" s="5"/>
      <c r="P405" s="3" t="s">
        <v>22</v>
      </c>
      <c r="Q405" s="7"/>
      <c r="R405" s="7"/>
    </row>
    <row r="406" spans="1:18" ht="51" x14ac:dyDescent="0.25">
      <c r="A406" s="3" t="s">
        <v>18</v>
      </c>
      <c r="B406" s="3">
        <v>2013</v>
      </c>
      <c r="C406" s="3" t="s">
        <v>19</v>
      </c>
      <c r="D406" s="3" t="str">
        <f>"437 / 2013"</f>
        <v>437 / 2013</v>
      </c>
      <c r="E406" s="4">
        <v>41457</v>
      </c>
      <c r="F406" s="3" t="s">
        <v>948</v>
      </c>
      <c r="G406" s="5"/>
      <c r="H406" s="3" t="s">
        <v>949</v>
      </c>
      <c r="I406" s="3" t="str">
        <f t="shared" si="23"/>
        <v>15 / 26-06-2013</v>
      </c>
      <c r="J406" s="4">
        <v>41451</v>
      </c>
      <c r="K406" s="6">
        <v>0.83333333333333337</v>
      </c>
      <c r="L406" s="3">
        <v>17</v>
      </c>
      <c r="M406" s="3" t="s">
        <v>56</v>
      </c>
      <c r="N406" s="3" t="s">
        <v>56</v>
      </c>
      <c r="O406" s="5"/>
      <c r="P406" s="3" t="s">
        <v>22</v>
      </c>
      <c r="Q406" s="7"/>
      <c r="R406" s="7"/>
    </row>
    <row r="407" spans="1:18" ht="89.25" x14ac:dyDescent="0.25">
      <c r="A407" s="3" t="s">
        <v>18</v>
      </c>
      <c r="B407" s="3">
        <v>2013</v>
      </c>
      <c r="C407" s="3" t="s">
        <v>19</v>
      </c>
      <c r="D407" s="3" t="str">
        <f>"438 / 2013"</f>
        <v>438 / 2013</v>
      </c>
      <c r="E407" s="4">
        <v>41457</v>
      </c>
      <c r="F407" s="3" t="s">
        <v>950</v>
      </c>
      <c r="G407" s="5"/>
      <c r="H407" s="3" t="s">
        <v>951</v>
      </c>
      <c r="I407" s="3" t="str">
        <f t="shared" si="23"/>
        <v>15 / 26-06-2013</v>
      </c>
      <c r="J407" s="4">
        <v>41451</v>
      </c>
      <c r="K407" s="6">
        <v>0.83333333333333337</v>
      </c>
      <c r="L407" s="3">
        <v>18</v>
      </c>
      <c r="M407" s="3" t="s">
        <v>952</v>
      </c>
      <c r="N407" s="3" t="s">
        <v>952</v>
      </c>
      <c r="O407" s="5"/>
      <c r="P407" s="3" t="s">
        <v>22</v>
      </c>
      <c r="Q407" s="7"/>
      <c r="R407" s="7"/>
    </row>
    <row r="408" spans="1:18" ht="38.25" x14ac:dyDescent="0.25">
      <c r="A408" s="3" t="s">
        <v>18</v>
      </c>
      <c r="B408" s="3">
        <v>2013</v>
      </c>
      <c r="C408" s="3" t="s">
        <v>19</v>
      </c>
      <c r="D408" s="3" t="str">
        <f>"439 / 2013"</f>
        <v>439 / 2013</v>
      </c>
      <c r="E408" s="4">
        <v>41453</v>
      </c>
      <c r="F408" s="3" t="s">
        <v>953</v>
      </c>
      <c r="G408" s="5"/>
      <c r="H408" s="3" t="s">
        <v>954</v>
      </c>
      <c r="I408" s="3" t="str">
        <f t="shared" si="23"/>
        <v>15 / 26-06-2013</v>
      </c>
      <c r="J408" s="4">
        <v>41451</v>
      </c>
      <c r="K408" s="6">
        <v>0.83333333333333337</v>
      </c>
      <c r="L408" s="3">
        <v>19</v>
      </c>
      <c r="M408" s="3" t="s">
        <v>56</v>
      </c>
      <c r="N408" s="3" t="s">
        <v>56</v>
      </c>
      <c r="O408" s="5"/>
      <c r="P408" s="3" t="s">
        <v>22</v>
      </c>
      <c r="Q408" s="7"/>
      <c r="R408" s="7"/>
    </row>
    <row r="409" spans="1:18" ht="63.75" x14ac:dyDescent="0.25">
      <c r="A409" s="3" t="s">
        <v>18</v>
      </c>
      <c r="B409" s="3">
        <v>2013</v>
      </c>
      <c r="C409" s="3" t="s">
        <v>19</v>
      </c>
      <c r="D409" s="3" t="str">
        <f>"44/2013"</f>
        <v>44/2013</v>
      </c>
      <c r="E409" s="4">
        <v>41304</v>
      </c>
      <c r="F409" s="3" t="s">
        <v>955</v>
      </c>
      <c r="G409" s="5"/>
      <c r="H409" s="3" t="s">
        <v>956</v>
      </c>
      <c r="I409" s="3" t="str">
        <f>"4/30-01-2013"</f>
        <v>4/30-01-2013</v>
      </c>
      <c r="J409" s="4">
        <v>41304</v>
      </c>
      <c r="K409" s="6">
        <v>0.79166666666666663</v>
      </c>
      <c r="L409" s="3">
        <v>5</v>
      </c>
      <c r="M409" s="3" t="s">
        <v>957</v>
      </c>
      <c r="N409" s="3" t="s">
        <v>958</v>
      </c>
      <c r="O409" s="5"/>
      <c r="P409" s="3" t="s">
        <v>22</v>
      </c>
      <c r="Q409" s="7"/>
      <c r="R409" s="7"/>
    </row>
    <row r="410" spans="1:18" ht="76.5" x14ac:dyDescent="0.25">
      <c r="A410" s="3" t="s">
        <v>18</v>
      </c>
      <c r="B410" s="3">
        <v>2013</v>
      </c>
      <c r="C410" s="3" t="s">
        <v>19</v>
      </c>
      <c r="D410" s="3" t="str">
        <f>"440 / 2013"</f>
        <v>440 / 2013</v>
      </c>
      <c r="E410" s="4">
        <v>41463</v>
      </c>
      <c r="F410" s="3" t="s">
        <v>959</v>
      </c>
      <c r="G410" s="5"/>
      <c r="H410" s="3" t="s">
        <v>960</v>
      </c>
      <c r="I410" s="3" t="str">
        <f t="shared" ref="I410:I415" si="24">"15 / 26-06-2013"</f>
        <v>15 / 26-06-2013</v>
      </c>
      <c r="J410" s="4">
        <v>41451</v>
      </c>
      <c r="K410" s="6">
        <v>0.83333333333333337</v>
      </c>
      <c r="L410" s="3">
        <v>20</v>
      </c>
      <c r="M410" s="3" t="s">
        <v>352</v>
      </c>
      <c r="N410" s="3" t="s">
        <v>352</v>
      </c>
      <c r="O410" s="5"/>
      <c r="P410" s="3" t="s">
        <v>22</v>
      </c>
      <c r="Q410" s="7"/>
      <c r="R410" s="7"/>
    </row>
    <row r="411" spans="1:18" ht="63.75" x14ac:dyDescent="0.25">
      <c r="A411" s="3" t="s">
        <v>18</v>
      </c>
      <c r="B411" s="3">
        <v>2013</v>
      </c>
      <c r="C411" s="3" t="s">
        <v>19</v>
      </c>
      <c r="D411" s="3" t="str">
        <f>"441 / 2013"</f>
        <v>441 / 2013</v>
      </c>
      <c r="E411" s="4">
        <v>41452</v>
      </c>
      <c r="F411" s="3" t="s">
        <v>961</v>
      </c>
      <c r="G411" s="5"/>
      <c r="H411" s="3" t="s">
        <v>962</v>
      </c>
      <c r="I411" s="3" t="str">
        <f t="shared" si="24"/>
        <v>15 / 26-06-2013</v>
      </c>
      <c r="J411" s="4">
        <v>41451</v>
      </c>
      <c r="K411" s="6">
        <v>0.83333333333333337</v>
      </c>
      <c r="L411" s="3">
        <v>21</v>
      </c>
      <c r="M411" s="3" t="s">
        <v>355</v>
      </c>
      <c r="N411" s="3" t="s">
        <v>355</v>
      </c>
      <c r="O411" s="5"/>
      <c r="P411" s="3" t="s">
        <v>22</v>
      </c>
      <c r="Q411" s="7"/>
      <c r="R411" s="7"/>
    </row>
    <row r="412" spans="1:18" ht="76.5" x14ac:dyDescent="0.25">
      <c r="A412" s="3" t="s">
        <v>18</v>
      </c>
      <c r="B412" s="3">
        <v>2013</v>
      </c>
      <c r="C412" s="3" t="s">
        <v>19</v>
      </c>
      <c r="D412" s="3" t="str">
        <f>"442 / 2013"</f>
        <v>442 / 2013</v>
      </c>
      <c r="E412" s="4">
        <v>41452</v>
      </c>
      <c r="F412" s="3" t="s">
        <v>963</v>
      </c>
      <c r="G412" s="5"/>
      <c r="H412" s="3" t="s">
        <v>964</v>
      </c>
      <c r="I412" s="3" t="str">
        <f t="shared" si="24"/>
        <v>15 / 26-06-2013</v>
      </c>
      <c r="J412" s="4">
        <v>41451</v>
      </c>
      <c r="K412" s="6">
        <v>0.83333333333333337</v>
      </c>
      <c r="L412" s="3">
        <v>21</v>
      </c>
      <c r="M412" s="3" t="s">
        <v>355</v>
      </c>
      <c r="N412" s="3" t="s">
        <v>355</v>
      </c>
      <c r="O412" s="5"/>
      <c r="P412" s="3" t="s">
        <v>22</v>
      </c>
      <c r="Q412" s="7"/>
      <c r="R412" s="7"/>
    </row>
    <row r="413" spans="1:18" ht="89.25" x14ac:dyDescent="0.25">
      <c r="A413" s="3" t="s">
        <v>18</v>
      </c>
      <c r="B413" s="3">
        <v>2013</v>
      </c>
      <c r="C413" s="3" t="s">
        <v>19</v>
      </c>
      <c r="D413" s="3" t="str">
        <f>"443 / 2013"</f>
        <v>443 / 2013</v>
      </c>
      <c r="E413" s="4">
        <v>41452</v>
      </c>
      <c r="F413" s="3" t="s">
        <v>965</v>
      </c>
      <c r="G413" s="5"/>
      <c r="H413" s="3" t="s">
        <v>966</v>
      </c>
      <c r="I413" s="3" t="str">
        <f t="shared" si="24"/>
        <v>15 / 26-06-2013</v>
      </c>
      <c r="J413" s="4">
        <v>41451</v>
      </c>
      <c r="K413" s="6">
        <v>0.83333333333333337</v>
      </c>
      <c r="L413" s="3">
        <v>21</v>
      </c>
      <c r="M413" s="3" t="s">
        <v>355</v>
      </c>
      <c r="N413" s="3" t="s">
        <v>355</v>
      </c>
      <c r="O413" s="5"/>
      <c r="P413" s="3" t="s">
        <v>22</v>
      </c>
      <c r="Q413" s="7"/>
      <c r="R413" s="7"/>
    </row>
    <row r="414" spans="1:18" ht="63.75" x14ac:dyDescent="0.25">
      <c r="A414" s="3" t="s">
        <v>18</v>
      </c>
      <c r="B414" s="3">
        <v>2013</v>
      </c>
      <c r="C414" s="3" t="s">
        <v>19</v>
      </c>
      <c r="D414" s="3" t="str">
        <f>"444 / 2013"</f>
        <v>444 / 2013</v>
      </c>
      <c r="E414" s="4">
        <v>41453</v>
      </c>
      <c r="F414" s="3" t="s">
        <v>967</v>
      </c>
      <c r="G414" s="5"/>
      <c r="H414" s="3" t="s">
        <v>968</v>
      </c>
      <c r="I414" s="3" t="str">
        <f t="shared" si="24"/>
        <v>15 / 26-06-2013</v>
      </c>
      <c r="J414" s="4">
        <v>41451</v>
      </c>
      <c r="K414" s="6">
        <v>0.83333333333333337</v>
      </c>
      <c r="L414" s="3">
        <v>22</v>
      </c>
      <c r="M414" s="3" t="s">
        <v>132</v>
      </c>
      <c r="N414" s="3" t="s">
        <v>132</v>
      </c>
      <c r="O414" s="5"/>
      <c r="P414" s="3" t="s">
        <v>22</v>
      </c>
      <c r="Q414" s="7"/>
      <c r="R414" s="7"/>
    </row>
    <row r="415" spans="1:18" ht="76.5" x14ac:dyDescent="0.25">
      <c r="A415" s="3" t="s">
        <v>18</v>
      </c>
      <c r="B415" s="3">
        <v>2013</v>
      </c>
      <c r="C415" s="3" t="s">
        <v>19</v>
      </c>
      <c r="D415" s="3" t="str">
        <f>"445 / 2013"</f>
        <v>445 / 2013</v>
      </c>
      <c r="E415" s="4">
        <v>41453</v>
      </c>
      <c r="F415" s="3" t="s">
        <v>969</v>
      </c>
      <c r="G415" s="5"/>
      <c r="H415" s="3" t="s">
        <v>970</v>
      </c>
      <c r="I415" s="3" t="str">
        <f t="shared" si="24"/>
        <v>15 / 26-06-2013</v>
      </c>
      <c r="J415" s="4">
        <v>41451</v>
      </c>
      <c r="K415" s="6">
        <v>0.83333333333333337</v>
      </c>
      <c r="L415" s="5"/>
      <c r="M415" s="3" t="s">
        <v>56</v>
      </c>
      <c r="N415" s="3" t="s">
        <v>56</v>
      </c>
      <c r="O415" s="5"/>
      <c r="P415" s="3" t="s">
        <v>74</v>
      </c>
      <c r="Q415" s="7"/>
      <c r="R415" s="7"/>
    </row>
    <row r="416" spans="1:18" ht="63.75" x14ac:dyDescent="0.25">
      <c r="A416" s="3" t="s">
        <v>18</v>
      </c>
      <c r="B416" s="3">
        <v>2013</v>
      </c>
      <c r="C416" s="3" t="s">
        <v>19</v>
      </c>
      <c r="D416" s="3" t="str">
        <f>"446 / 2013"</f>
        <v>446 / 2013</v>
      </c>
      <c r="E416" s="4">
        <v>41486</v>
      </c>
      <c r="F416" s="3" t="s">
        <v>971</v>
      </c>
      <c r="G416" s="5"/>
      <c r="H416" s="3" t="s">
        <v>972</v>
      </c>
      <c r="I416" s="3" t="str">
        <f>"16 / 10-07-2013"</f>
        <v>16 / 10-07-2013</v>
      </c>
      <c r="J416" s="4">
        <v>41465</v>
      </c>
      <c r="K416" s="6">
        <v>0.79166666666666663</v>
      </c>
      <c r="L416" s="3">
        <v>1</v>
      </c>
      <c r="M416" s="3" t="s">
        <v>139</v>
      </c>
      <c r="N416" s="3" t="s">
        <v>139</v>
      </c>
      <c r="O416" s="5"/>
      <c r="P416" s="3" t="s">
        <v>22</v>
      </c>
      <c r="Q416" s="7"/>
      <c r="R416" s="7"/>
    </row>
    <row r="417" spans="1:18" ht="51" x14ac:dyDescent="0.25">
      <c r="A417" s="3" t="s">
        <v>18</v>
      </c>
      <c r="B417" s="3">
        <v>2013</v>
      </c>
      <c r="C417" s="3" t="s">
        <v>19</v>
      </c>
      <c r="D417" s="3" t="str">
        <f>"447 / 2013"</f>
        <v>447 / 2013</v>
      </c>
      <c r="E417" s="4">
        <v>41486</v>
      </c>
      <c r="F417" s="3" t="s">
        <v>973</v>
      </c>
      <c r="G417" s="5"/>
      <c r="H417" s="3" t="s">
        <v>974</v>
      </c>
      <c r="I417" s="3" t="str">
        <f>"16 / 10-07-2013"</f>
        <v>16 / 10-07-2013</v>
      </c>
      <c r="J417" s="4">
        <v>41465</v>
      </c>
      <c r="K417" s="6">
        <v>0.79166666666666663</v>
      </c>
      <c r="L417" s="3">
        <v>1</v>
      </c>
      <c r="M417" s="3" t="s">
        <v>139</v>
      </c>
      <c r="N417" s="3" t="s">
        <v>139</v>
      </c>
      <c r="O417" s="5"/>
      <c r="P417" s="3" t="s">
        <v>22</v>
      </c>
      <c r="Q417" s="7"/>
      <c r="R417" s="7"/>
    </row>
    <row r="418" spans="1:18" ht="51" x14ac:dyDescent="0.25">
      <c r="A418" s="3" t="s">
        <v>18</v>
      </c>
      <c r="B418" s="3">
        <v>2013</v>
      </c>
      <c r="C418" s="3" t="s">
        <v>19</v>
      </c>
      <c r="D418" s="3" t="str">
        <f>"448 / 2013"</f>
        <v>448 / 2013</v>
      </c>
      <c r="E418" s="4">
        <v>41487</v>
      </c>
      <c r="F418" s="3" t="s">
        <v>975</v>
      </c>
      <c r="G418" s="5"/>
      <c r="H418" s="3" t="s">
        <v>976</v>
      </c>
      <c r="I418" s="3" t="str">
        <f>"16 / 10-07-2013"</f>
        <v>16 / 10-07-2013</v>
      </c>
      <c r="J418" s="4">
        <v>41374</v>
      </c>
      <c r="K418" s="6">
        <v>0.79166666666666663</v>
      </c>
      <c r="L418" s="3">
        <v>2</v>
      </c>
      <c r="M418" s="3" t="s">
        <v>333</v>
      </c>
      <c r="N418" s="3" t="s">
        <v>333</v>
      </c>
      <c r="O418" s="5"/>
      <c r="P418" s="3" t="s">
        <v>22</v>
      </c>
      <c r="Q418" s="7"/>
      <c r="R418" s="7"/>
    </row>
    <row r="419" spans="1:18" ht="76.5" x14ac:dyDescent="0.25">
      <c r="A419" s="3" t="s">
        <v>18</v>
      </c>
      <c r="B419" s="3">
        <v>2013</v>
      </c>
      <c r="C419" s="3" t="s">
        <v>19</v>
      </c>
      <c r="D419" s="3" t="str">
        <f>"45/2013"</f>
        <v>45/2013</v>
      </c>
      <c r="E419" s="4">
        <v>41304</v>
      </c>
      <c r="F419" s="3" t="s">
        <v>977</v>
      </c>
      <c r="G419" s="5"/>
      <c r="H419" s="3" t="s">
        <v>978</v>
      </c>
      <c r="I419" s="3" t="str">
        <f>"4/30-01-2013"</f>
        <v>4/30-01-2013</v>
      </c>
      <c r="J419" s="4">
        <v>41304</v>
      </c>
      <c r="K419" s="6">
        <v>0.79166666666666663</v>
      </c>
      <c r="L419" s="3">
        <v>6</v>
      </c>
      <c r="M419" s="3" t="s">
        <v>979</v>
      </c>
      <c r="N419" s="3" t="s">
        <v>979</v>
      </c>
      <c r="O419" s="5"/>
      <c r="P419" s="3" t="s">
        <v>22</v>
      </c>
      <c r="Q419" s="7"/>
      <c r="R419" s="7"/>
    </row>
    <row r="420" spans="1:18" ht="76.5" x14ac:dyDescent="0.25">
      <c r="A420" s="3" t="s">
        <v>18</v>
      </c>
      <c r="B420" s="3">
        <v>2013</v>
      </c>
      <c r="C420" s="3" t="s">
        <v>19</v>
      </c>
      <c r="D420" s="3" t="str">
        <f>"450 / 2013"</f>
        <v>450 / 2013</v>
      </c>
      <c r="E420" s="4">
        <v>41467</v>
      </c>
      <c r="F420" s="3" t="s">
        <v>980</v>
      </c>
      <c r="G420" s="5"/>
      <c r="H420" s="3" t="s">
        <v>981</v>
      </c>
      <c r="I420" s="3" t="str">
        <f t="shared" ref="I420:I429" si="25">"16 / 10-07-2013"</f>
        <v>16 / 10-07-2013</v>
      </c>
      <c r="J420" s="4">
        <v>41465</v>
      </c>
      <c r="K420" s="6">
        <v>0.79166666666666663</v>
      </c>
      <c r="L420" s="3">
        <v>5</v>
      </c>
      <c r="M420" s="3" t="s">
        <v>139</v>
      </c>
      <c r="N420" s="3" t="s">
        <v>139</v>
      </c>
      <c r="O420" s="5"/>
      <c r="P420" s="3" t="s">
        <v>22</v>
      </c>
      <c r="Q420" s="7"/>
      <c r="R420" s="7"/>
    </row>
    <row r="421" spans="1:18" ht="51" x14ac:dyDescent="0.25">
      <c r="A421" s="3" t="s">
        <v>18</v>
      </c>
      <c r="B421" s="3">
        <v>2013</v>
      </c>
      <c r="C421" s="3" t="s">
        <v>19</v>
      </c>
      <c r="D421" s="3" t="str">
        <f>"451 / 2013"</f>
        <v>451 / 2013</v>
      </c>
      <c r="E421" s="4">
        <v>41487</v>
      </c>
      <c r="F421" s="3" t="s">
        <v>982</v>
      </c>
      <c r="G421" s="5"/>
      <c r="H421" s="3" t="s">
        <v>983</v>
      </c>
      <c r="I421" s="3" t="str">
        <f t="shared" si="25"/>
        <v>16 / 10-07-2013</v>
      </c>
      <c r="J421" s="4">
        <v>41465</v>
      </c>
      <c r="K421" s="6">
        <v>0.79166666666666663</v>
      </c>
      <c r="L421" s="3">
        <v>7</v>
      </c>
      <c r="M421" s="3" t="s">
        <v>501</v>
      </c>
      <c r="N421" s="3" t="s">
        <v>501</v>
      </c>
      <c r="O421" s="5"/>
      <c r="P421" s="3" t="s">
        <v>22</v>
      </c>
      <c r="Q421" s="7"/>
      <c r="R421" s="7"/>
    </row>
    <row r="422" spans="1:18" ht="127.5" x14ac:dyDescent="0.25">
      <c r="A422" s="3" t="s">
        <v>18</v>
      </c>
      <c r="B422" s="3">
        <v>2013</v>
      </c>
      <c r="C422" s="3" t="s">
        <v>19</v>
      </c>
      <c r="D422" s="3" t="str">
        <f>"452 / 2013"</f>
        <v>452 / 2013</v>
      </c>
      <c r="E422" s="4">
        <v>41487</v>
      </c>
      <c r="F422" s="3" t="s">
        <v>984</v>
      </c>
      <c r="G422" s="5"/>
      <c r="H422" s="3" t="s">
        <v>985</v>
      </c>
      <c r="I422" s="3" t="str">
        <f t="shared" si="25"/>
        <v>16 / 10-07-2013</v>
      </c>
      <c r="J422" s="4">
        <v>41465</v>
      </c>
      <c r="K422" s="6">
        <v>0.79166666666666663</v>
      </c>
      <c r="L422" s="3">
        <v>8</v>
      </c>
      <c r="M422" s="3" t="s">
        <v>728</v>
      </c>
      <c r="N422" s="3" t="s">
        <v>829</v>
      </c>
      <c r="O422" s="5"/>
      <c r="P422" s="3" t="s">
        <v>22</v>
      </c>
      <c r="Q422" s="7"/>
      <c r="R422" s="7"/>
    </row>
    <row r="423" spans="1:18" ht="89.25" x14ac:dyDescent="0.25">
      <c r="A423" s="3" t="s">
        <v>18</v>
      </c>
      <c r="B423" s="3">
        <v>2013</v>
      </c>
      <c r="C423" s="3" t="s">
        <v>19</v>
      </c>
      <c r="D423" s="3" t="str">
        <f>"453 / 2013"</f>
        <v>453 / 2013</v>
      </c>
      <c r="E423" s="4">
        <v>41491</v>
      </c>
      <c r="F423" s="3" t="s">
        <v>986</v>
      </c>
      <c r="G423" s="5"/>
      <c r="H423" s="3" t="s">
        <v>987</v>
      </c>
      <c r="I423" s="3" t="str">
        <f t="shared" si="25"/>
        <v>16 / 10-07-2013</v>
      </c>
      <c r="J423" s="4">
        <v>41465</v>
      </c>
      <c r="K423" s="6">
        <v>0.79166666666666663</v>
      </c>
      <c r="L423" s="3">
        <v>9</v>
      </c>
      <c r="M423" s="3" t="s">
        <v>327</v>
      </c>
      <c r="N423" s="3" t="s">
        <v>327</v>
      </c>
      <c r="O423" s="5"/>
      <c r="P423" s="3" t="s">
        <v>22</v>
      </c>
      <c r="Q423" s="7"/>
      <c r="R423" s="7"/>
    </row>
    <row r="424" spans="1:18" ht="89.25" x14ac:dyDescent="0.25">
      <c r="A424" s="3" t="s">
        <v>18</v>
      </c>
      <c r="B424" s="3">
        <v>2013</v>
      </c>
      <c r="C424" s="3" t="s">
        <v>19</v>
      </c>
      <c r="D424" s="3" t="str">
        <f>"454 / 2013"</f>
        <v>454 / 2013</v>
      </c>
      <c r="E424" s="4">
        <v>41491</v>
      </c>
      <c r="F424" s="3" t="s">
        <v>988</v>
      </c>
      <c r="G424" s="5"/>
      <c r="H424" s="3" t="s">
        <v>989</v>
      </c>
      <c r="I424" s="3" t="str">
        <f t="shared" si="25"/>
        <v>16 / 10-07-2013</v>
      </c>
      <c r="J424" s="4">
        <v>41465</v>
      </c>
      <c r="K424" s="6">
        <v>0.79166666666666663</v>
      </c>
      <c r="L424" s="3">
        <v>9</v>
      </c>
      <c r="M424" s="3" t="s">
        <v>327</v>
      </c>
      <c r="N424" s="3" t="s">
        <v>327</v>
      </c>
      <c r="O424" s="5"/>
      <c r="P424" s="3" t="s">
        <v>22</v>
      </c>
      <c r="Q424" s="7"/>
      <c r="R424" s="7"/>
    </row>
    <row r="425" spans="1:18" ht="76.5" x14ac:dyDescent="0.25">
      <c r="A425" s="3" t="s">
        <v>18</v>
      </c>
      <c r="B425" s="3">
        <v>2013</v>
      </c>
      <c r="C425" s="3" t="s">
        <v>19</v>
      </c>
      <c r="D425" s="3" t="str">
        <f>"455 / 2013"</f>
        <v>455 / 2013</v>
      </c>
      <c r="E425" s="4">
        <v>41467</v>
      </c>
      <c r="F425" s="3" t="s">
        <v>990</v>
      </c>
      <c r="G425" s="5"/>
      <c r="H425" s="3" t="s">
        <v>110</v>
      </c>
      <c r="I425" s="3" t="str">
        <f t="shared" si="25"/>
        <v>16 / 10-07-2013</v>
      </c>
      <c r="J425" s="4">
        <v>41465</v>
      </c>
      <c r="K425" s="6">
        <v>0.79166666666666663</v>
      </c>
      <c r="L425" s="3">
        <v>10</v>
      </c>
      <c r="M425" s="3" t="s">
        <v>111</v>
      </c>
      <c r="N425" s="3" t="s">
        <v>111</v>
      </c>
      <c r="O425" s="5"/>
      <c r="P425" s="3" t="s">
        <v>22</v>
      </c>
      <c r="Q425" s="7"/>
      <c r="R425" s="7"/>
    </row>
    <row r="426" spans="1:18" ht="89.25" x14ac:dyDescent="0.25">
      <c r="A426" s="3" t="s">
        <v>18</v>
      </c>
      <c r="B426" s="3">
        <v>2013</v>
      </c>
      <c r="C426" s="3" t="s">
        <v>19</v>
      </c>
      <c r="D426" s="3" t="str">
        <f>"456 / 2013"</f>
        <v>456 / 2013</v>
      </c>
      <c r="E426" s="4">
        <v>41505</v>
      </c>
      <c r="F426" s="3" t="s">
        <v>991</v>
      </c>
      <c r="G426" s="5"/>
      <c r="H426" s="3" t="s">
        <v>992</v>
      </c>
      <c r="I426" s="3" t="str">
        <f t="shared" si="25"/>
        <v>16 / 10-07-2013</v>
      </c>
      <c r="J426" s="4">
        <v>41465</v>
      </c>
      <c r="K426" s="6">
        <v>0.79166666666666663</v>
      </c>
      <c r="L426" s="3">
        <v>11</v>
      </c>
      <c r="M426" s="3" t="s">
        <v>56</v>
      </c>
      <c r="N426" s="3" t="s">
        <v>56</v>
      </c>
      <c r="O426" s="5"/>
      <c r="P426" s="3" t="s">
        <v>22</v>
      </c>
      <c r="Q426" s="7"/>
      <c r="R426" s="7"/>
    </row>
    <row r="427" spans="1:18" ht="76.5" x14ac:dyDescent="0.25">
      <c r="A427" s="3" t="s">
        <v>18</v>
      </c>
      <c r="B427" s="3">
        <v>2013</v>
      </c>
      <c r="C427" s="3" t="s">
        <v>19</v>
      </c>
      <c r="D427" s="3" t="str">
        <f>"457 / 2013"</f>
        <v>457 / 2013</v>
      </c>
      <c r="E427" s="4">
        <v>41467</v>
      </c>
      <c r="F427" s="3" t="s">
        <v>993</v>
      </c>
      <c r="G427" s="5"/>
      <c r="H427" s="3" t="s">
        <v>994</v>
      </c>
      <c r="I427" s="3" t="str">
        <f t="shared" si="25"/>
        <v>16 / 10-07-2013</v>
      </c>
      <c r="J427" s="4">
        <v>41465</v>
      </c>
      <c r="K427" s="6">
        <v>0.79166666666666663</v>
      </c>
      <c r="L427" s="3">
        <v>12</v>
      </c>
      <c r="M427" s="3" t="s">
        <v>552</v>
      </c>
      <c r="N427" s="3" t="s">
        <v>552</v>
      </c>
      <c r="O427" s="5"/>
      <c r="P427" s="3" t="s">
        <v>22</v>
      </c>
      <c r="Q427" s="7"/>
      <c r="R427" s="7"/>
    </row>
    <row r="428" spans="1:18" ht="178.5" x14ac:dyDescent="0.25">
      <c r="A428" s="3" t="s">
        <v>18</v>
      </c>
      <c r="B428" s="3">
        <v>2013</v>
      </c>
      <c r="C428" s="3" t="s">
        <v>19</v>
      </c>
      <c r="D428" s="3" t="str">
        <f>"458 / 2013"</f>
        <v>458 / 2013</v>
      </c>
      <c r="E428" s="4">
        <v>41470</v>
      </c>
      <c r="F428" s="3" t="s">
        <v>995</v>
      </c>
      <c r="G428" s="5"/>
      <c r="H428" s="3" t="s">
        <v>996</v>
      </c>
      <c r="I428" s="3" t="str">
        <f t="shared" si="25"/>
        <v>16 / 10-07-2013</v>
      </c>
      <c r="J428" s="4">
        <v>41465</v>
      </c>
      <c r="K428" s="6">
        <v>0.79166666666666663</v>
      </c>
      <c r="L428" s="3">
        <v>13</v>
      </c>
      <c r="M428" s="3" t="s">
        <v>324</v>
      </c>
      <c r="N428" s="3" t="s">
        <v>324</v>
      </c>
      <c r="O428" s="5"/>
      <c r="P428" s="3" t="s">
        <v>22</v>
      </c>
      <c r="Q428" s="7"/>
      <c r="R428" s="7"/>
    </row>
    <row r="429" spans="1:18" ht="153" x14ac:dyDescent="0.25">
      <c r="A429" s="3" t="s">
        <v>18</v>
      </c>
      <c r="B429" s="3">
        <v>2013</v>
      </c>
      <c r="C429" s="3" t="s">
        <v>19</v>
      </c>
      <c r="D429" s="3" t="str">
        <f>"459 / 2013"</f>
        <v>459 / 2013</v>
      </c>
      <c r="E429" s="4">
        <v>41470</v>
      </c>
      <c r="F429" s="3" t="s">
        <v>997</v>
      </c>
      <c r="G429" s="5"/>
      <c r="H429" s="3" t="s">
        <v>998</v>
      </c>
      <c r="I429" s="3" t="str">
        <f t="shared" si="25"/>
        <v>16 / 10-07-2013</v>
      </c>
      <c r="J429" s="4">
        <v>41465</v>
      </c>
      <c r="K429" s="6">
        <v>0.79166666666666663</v>
      </c>
      <c r="L429" s="3">
        <v>13</v>
      </c>
      <c r="M429" s="3" t="s">
        <v>324</v>
      </c>
      <c r="N429" s="3" t="s">
        <v>324</v>
      </c>
      <c r="O429" s="5"/>
      <c r="P429" s="3" t="s">
        <v>22</v>
      </c>
      <c r="Q429" s="7"/>
      <c r="R429" s="7"/>
    </row>
    <row r="430" spans="1:18" ht="76.5" x14ac:dyDescent="0.25">
      <c r="A430" s="3" t="s">
        <v>18</v>
      </c>
      <c r="B430" s="3">
        <v>2013</v>
      </c>
      <c r="C430" s="3" t="s">
        <v>19</v>
      </c>
      <c r="D430" s="3" t="str">
        <f>"46/2013"</f>
        <v>46/2013</v>
      </c>
      <c r="E430" s="4">
        <v>41294</v>
      </c>
      <c r="F430" s="3" t="s">
        <v>999</v>
      </c>
      <c r="G430" s="5"/>
      <c r="H430" s="3" t="s">
        <v>1000</v>
      </c>
      <c r="I430" s="3" t="str">
        <f>"4/30-01-2013"</f>
        <v>4/30-01-2013</v>
      </c>
      <c r="J430" s="4">
        <v>41304</v>
      </c>
      <c r="K430" s="6">
        <v>0.79166666666666663</v>
      </c>
      <c r="L430" s="3">
        <v>8</v>
      </c>
      <c r="M430" s="3" t="s">
        <v>1001</v>
      </c>
      <c r="N430" s="3" t="s">
        <v>1001</v>
      </c>
      <c r="O430" s="5"/>
      <c r="P430" s="3" t="s">
        <v>22</v>
      </c>
      <c r="Q430" s="7"/>
      <c r="R430" s="7"/>
    </row>
    <row r="431" spans="1:18" ht="51" x14ac:dyDescent="0.25">
      <c r="A431" s="3" t="s">
        <v>18</v>
      </c>
      <c r="B431" s="3">
        <v>2013</v>
      </c>
      <c r="C431" s="3" t="s">
        <v>19</v>
      </c>
      <c r="D431" s="3" t="str">
        <f>"460 / 2013"</f>
        <v>460 / 2013</v>
      </c>
      <c r="E431" s="4">
        <v>41470</v>
      </c>
      <c r="F431" s="3" t="s">
        <v>1002</v>
      </c>
      <c r="G431" s="5"/>
      <c r="H431" s="3" t="s">
        <v>1003</v>
      </c>
      <c r="I431" s="3" t="str">
        <f t="shared" ref="I431:I440" si="26">"16 / 10-07-2013"</f>
        <v>16 / 10-07-2013</v>
      </c>
      <c r="J431" s="4">
        <v>41465</v>
      </c>
      <c r="K431" s="6">
        <v>0.79166666666666663</v>
      </c>
      <c r="L431" s="3">
        <v>14</v>
      </c>
      <c r="M431" s="3" t="s">
        <v>50</v>
      </c>
      <c r="N431" s="3" t="s">
        <v>50</v>
      </c>
      <c r="O431" s="5"/>
      <c r="P431" s="3" t="s">
        <v>22</v>
      </c>
      <c r="Q431" s="7"/>
      <c r="R431" s="7"/>
    </row>
    <row r="432" spans="1:18" ht="63.75" x14ac:dyDescent="0.25">
      <c r="A432" s="3" t="s">
        <v>18</v>
      </c>
      <c r="B432" s="3">
        <v>2013</v>
      </c>
      <c r="C432" s="3" t="s">
        <v>19</v>
      </c>
      <c r="D432" s="3" t="str">
        <f>"461 / 2013"</f>
        <v>461 / 2013</v>
      </c>
      <c r="E432" s="4">
        <v>41481</v>
      </c>
      <c r="F432" s="3" t="s">
        <v>1004</v>
      </c>
      <c r="G432" s="5"/>
      <c r="H432" s="3" t="s">
        <v>1005</v>
      </c>
      <c r="I432" s="3" t="str">
        <f t="shared" si="26"/>
        <v>16 / 10-07-2013</v>
      </c>
      <c r="J432" s="4">
        <v>41465</v>
      </c>
      <c r="K432" s="6">
        <v>0.79166666666666663</v>
      </c>
      <c r="L432" s="3">
        <v>14</v>
      </c>
      <c r="M432" s="3" t="s">
        <v>757</v>
      </c>
      <c r="N432" s="3" t="s">
        <v>757</v>
      </c>
      <c r="O432" s="5"/>
      <c r="P432" s="3" t="s">
        <v>22</v>
      </c>
      <c r="Q432" s="7"/>
      <c r="R432" s="7"/>
    </row>
    <row r="433" spans="1:18" ht="51" x14ac:dyDescent="0.25">
      <c r="A433" s="3" t="s">
        <v>18</v>
      </c>
      <c r="B433" s="3">
        <v>2013</v>
      </c>
      <c r="C433" s="3" t="s">
        <v>19</v>
      </c>
      <c r="D433" s="3" t="str">
        <f>"462 / 2013"</f>
        <v>462 / 2013</v>
      </c>
      <c r="E433" s="4">
        <v>41480</v>
      </c>
      <c r="F433" s="3" t="s">
        <v>1006</v>
      </c>
      <c r="G433" s="5"/>
      <c r="H433" s="3" t="s">
        <v>1007</v>
      </c>
      <c r="I433" s="3" t="str">
        <f t="shared" si="26"/>
        <v>16 / 10-07-2013</v>
      </c>
      <c r="J433" s="4">
        <v>41465</v>
      </c>
      <c r="K433" s="6">
        <v>0.79166666666666663</v>
      </c>
      <c r="L433" s="3">
        <v>15</v>
      </c>
      <c r="M433" s="3" t="s">
        <v>1008</v>
      </c>
      <c r="N433" s="3" t="s">
        <v>1008</v>
      </c>
      <c r="O433" s="5"/>
      <c r="P433" s="3" t="s">
        <v>22</v>
      </c>
      <c r="Q433" s="7"/>
      <c r="R433" s="7"/>
    </row>
    <row r="434" spans="1:18" ht="89.25" x14ac:dyDescent="0.25">
      <c r="A434" s="3" t="s">
        <v>18</v>
      </c>
      <c r="B434" s="3">
        <v>2013</v>
      </c>
      <c r="C434" s="3" t="s">
        <v>19</v>
      </c>
      <c r="D434" s="3" t="str">
        <f>"463 / 2013"</f>
        <v>463 / 2013</v>
      </c>
      <c r="E434" s="4">
        <v>41486</v>
      </c>
      <c r="F434" s="3" t="s">
        <v>1009</v>
      </c>
      <c r="G434" s="5"/>
      <c r="H434" s="3" t="s">
        <v>1010</v>
      </c>
      <c r="I434" s="3" t="str">
        <f t="shared" si="26"/>
        <v>16 / 10-07-2013</v>
      </c>
      <c r="J434" s="4">
        <v>41465</v>
      </c>
      <c r="K434" s="6">
        <v>0.79166666666666663</v>
      </c>
      <c r="L434" s="3">
        <v>16</v>
      </c>
      <c r="M434" s="3" t="s">
        <v>1011</v>
      </c>
      <c r="N434" s="3" t="s">
        <v>1011</v>
      </c>
      <c r="O434" s="5"/>
      <c r="P434" s="3" t="s">
        <v>22</v>
      </c>
      <c r="Q434" s="7"/>
      <c r="R434" s="7"/>
    </row>
    <row r="435" spans="1:18" ht="89.25" x14ac:dyDescent="0.25">
      <c r="A435" s="3" t="s">
        <v>18</v>
      </c>
      <c r="B435" s="3">
        <v>2013</v>
      </c>
      <c r="C435" s="3" t="s">
        <v>19</v>
      </c>
      <c r="D435" s="3" t="str">
        <f>"464 / 2013"</f>
        <v>464 / 2013</v>
      </c>
      <c r="E435" s="4">
        <v>41486</v>
      </c>
      <c r="F435" s="3" t="s">
        <v>1012</v>
      </c>
      <c r="G435" s="5"/>
      <c r="H435" s="3" t="s">
        <v>1013</v>
      </c>
      <c r="I435" s="3" t="str">
        <f t="shared" si="26"/>
        <v>16 / 10-07-2013</v>
      </c>
      <c r="J435" s="4">
        <v>41465</v>
      </c>
      <c r="K435" s="6">
        <v>0.79166666666666663</v>
      </c>
      <c r="L435" s="3">
        <v>16</v>
      </c>
      <c r="M435" s="3" t="s">
        <v>1011</v>
      </c>
      <c r="N435" s="3" t="s">
        <v>1011</v>
      </c>
      <c r="O435" s="5"/>
      <c r="P435" s="3" t="s">
        <v>22</v>
      </c>
      <c r="Q435" s="7"/>
      <c r="R435" s="7"/>
    </row>
    <row r="436" spans="1:18" ht="63.75" x14ac:dyDescent="0.25">
      <c r="A436" s="3" t="s">
        <v>18</v>
      </c>
      <c r="B436" s="3">
        <v>2013</v>
      </c>
      <c r="C436" s="3" t="s">
        <v>19</v>
      </c>
      <c r="D436" s="3" t="str">
        <f>"465 / 2013"</f>
        <v>465 / 2013</v>
      </c>
      <c r="E436" s="4">
        <v>41480</v>
      </c>
      <c r="F436" s="3" t="s">
        <v>1014</v>
      </c>
      <c r="G436" s="5"/>
      <c r="H436" s="3" t="s">
        <v>1015</v>
      </c>
      <c r="I436" s="3" t="str">
        <f t="shared" si="26"/>
        <v>16 / 10-07-2013</v>
      </c>
      <c r="J436" s="4">
        <v>41465</v>
      </c>
      <c r="K436" s="6">
        <v>0.79166666666666663</v>
      </c>
      <c r="L436" s="3">
        <v>17</v>
      </c>
      <c r="M436" s="3" t="s">
        <v>50</v>
      </c>
      <c r="N436" s="3" t="s">
        <v>50</v>
      </c>
      <c r="O436" s="5"/>
      <c r="P436" s="3" t="s">
        <v>22</v>
      </c>
      <c r="Q436" s="7"/>
      <c r="R436" s="7"/>
    </row>
    <row r="437" spans="1:18" ht="63.75" x14ac:dyDescent="0.25">
      <c r="A437" s="3" t="s">
        <v>18</v>
      </c>
      <c r="B437" s="3">
        <v>2013</v>
      </c>
      <c r="C437" s="3" t="s">
        <v>19</v>
      </c>
      <c r="D437" s="3" t="str">
        <f>"466 / 2013"</f>
        <v>466 / 2013</v>
      </c>
      <c r="E437" s="4">
        <v>41467</v>
      </c>
      <c r="F437" s="3" t="s">
        <v>1016</v>
      </c>
      <c r="G437" s="5"/>
      <c r="H437" s="3" t="s">
        <v>1017</v>
      </c>
      <c r="I437" s="3" t="str">
        <f t="shared" si="26"/>
        <v>16 / 10-07-2013</v>
      </c>
      <c r="J437" s="4">
        <v>41465</v>
      </c>
      <c r="K437" s="6">
        <v>0.79166666666666663</v>
      </c>
      <c r="L437" s="3">
        <v>18</v>
      </c>
      <c r="M437" s="3" t="s">
        <v>1018</v>
      </c>
      <c r="N437" s="3" t="s">
        <v>1018</v>
      </c>
      <c r="O437" s="5"/>
      <c r="P437" s="3" t="s">
        <v>22</v>
      </c>
      <c r="Q437" s="7"/>
      <c r="R437" s="7"/>
    </row>
    <row r="438" spans="1:18" ht="76.5" x14ac:dyDescent="0.25">
      <c r="A438" s="3" t="s">
        <v>18</v>
      </c>
      <c r="B438" s="3">
        <v>2013</v>
      </c>
      <c r="C438" s="3" t="s">
        <v>19</v>
      </c>
      <c r="D438" s="3" t="str">
        <f>"467 / 2013"</f>
        <v>467 / 2013</v>
      </c>
      <c r="E438" s="4">
        <v>41470</v>
      </c>
      <c r="F438" s="3" t="s">
        <v>1019</v>
      </c>
      <c r="G438" s="5"/>
      <c r="H438" s="3" t="s">
        <v>1020</v>
      </c>
      <c r="I438" s="3" t="str">
        <f t="shared" si="26"/>
        <v>16 / 10-07-2013</v>
      </c>
      <c r="J438" s="4">
        <v>41465</v>
      </c>
      <c r="K438" s="6">
        <v>0.79166666666666663</v>
      </c>
      <c r="L438" s="3">
        <v>19</v>
      </c>
      <c r="M438" s="3" t="s">
        <v>534</v>
      </c>
      <c r="N438" s="3" t="s">
        <v>534</v>
      </c>
      <c r="O438" s="5"/>
      <c r="P438" s="3" t="s">
        <v>22</v>
      </c>
      <c r="Q438" s="7"/>
      <c r="R438" s="7"/>
    </row>
    <row r="439" spans="1:18" ht="76.5" x14ac:dyDescent="0.25">
      <c r="A439" s="3" t="s">
        <v>18</v>
      </c>
      <c r="B439" s="3">
        <v>2013</v>
      </c>
      <c r="C439" s="3" t="s">
        <v>19</v>
      </c>
      <c r="D439" s="3" t="str">
        <f>"468 / 2013"</f>
        <v>468 / 2013</v>
      </c>
      <c r="E439" s="4">
        <v>41470</v>
      </c>
      <c r="F439" s="3" t="s">
        <v>1021</v>
      </c>
      <c r="G439" s="5"/>
      <c r="H439" s="3" t="s">
        <v>1022</v>
      </c>
      <c r="I439" s="3" t="str">
        <f t="shared" si="26"/>
        <v>16 / 10-07-2013</v>
      </c>
      <c r="J439" s="4">
        <v>41465</v>
      </c>
      <c r="K439" s="6">
        <v>0.79166666666666663</v>
      </c>
      <c r="L439" s="3">
        <v>19</v>
      </c>
      <c r="M439" s="3" t="s">
        <v>534</v>
      </c>
      <c r="N439" s="3" t="s">
        <v>534</v>
      </c>
      <c r="O439" s="5"/>
      <c r="P439" s="3" t="s">
        <v>22</v>
      </c>
      <c r="Q439" s="7"/>
      <c r="R439" s="7"/>
    </row>
    <row r="440" spans="1:18" ht="63.75" x14ac:dyDescent="0.25">
      <c r="A440" s="3" t="s">
        <v>18</v>
      </c>
      <c r="B440" s="3">
        <v>2013</v>
      </c>
      <c r="C440" s="3" t="s">
        <v>19</v>
      </c>
      <c r="D440" s="3" t="str">
        <f>"469 / 2013"</f>
        <v>469 / 2013</v>
      </c>
      <c r="E440" s="4">
        <v>41473</v>
      </c>
      <c r="F440" s="3" t="s">
        <v>1023</v>
      </c>
      <c r="G440" s="5"/>
      <c r="H440" s="3" t="s">
        <v>1024</v>
      </c>
      <c r="I440" s="3" t="str">
        <f t="shared" si="26"/>
        <v>16 / 10-07-2013</v>
      </c>
      <c r="J440" s="4">
        <v>41465</v>
      </c>
      <c r="K440" s="6">
        <v>0.79166666666666663</v>
      </c>
      <c r="L440" s="3">
        <v>19</v>
      </c>
      <c r="M440" s="3" t="s">
        <v>534</v>
      </c>
      <c r="N440" s="3" t="s">
        <v>534</v>
      </c>
      <c r="O440" s="5"/>
      <c r="P440" s="3" t="s">
        <v>22</v>
      </c>
      <c r="Q440" s="7"/>
      <c r="R440" s="7"/>
    </row>
    <row r="441" spans="1:18" ht="38.25" x14ac:dyDescent="0.25">
      <c r="A441" s="3" t="s">
        <v>18</v>
      </c>
      <c r="B441" s="3">
        <v>2013</v>
      </c>
      <c r="C441" s="3" t="s">
        <v>19</v>
      </c>
      <c r="D441" s="3" t="str">
        <f>"47/2013"</f>
        <v>47/2013</v>
      </c>
      <c r="E441" s="4">
        <v>41304</v>
      </c>
      <c r="F441" s="3" t="s">
        <v>1025</v>
      </c>
      <c r="G441" s="5"/>
      <c r="H441" s="3" t="s">
        <v>1026</v>
      </c>
      <c r="I441" s="3" t="str">
        <f>"4/30-01-2013"</f>
        <v>4/30-01-2013</v>
      </c>
      <c r="J441" s="4">
        <v>41304</v>
      </c>
      <c r="K441" s="6">
        <v>0.79166666666666663</v>
      </c>
      <c r="L441" s="3">
        <v>9</v>
      </c>
      <c r="M441" s="3" t="s">
        <v>53</v>
      </c>
      <c r="N441" s="3" t="s">
        <v>53</v>
      </c>
      <c r="O441" s="5"/>
      <c r="P441" s="3" t="s">
        <v>22</v>
      </c>
      <c r="Q441" s="7"/>
      <c r="R441" s="7"/>
    </row>
    <row r="442" spans="1:18" ht="76.5" x14ac:dyDescent="0.25">
      <c r="A442" s="3" t="s">
        <v>18</v>
      </c>
      <c r="B442" s="3">
        <v>2013</v>
      </c>
      <c r="C442" s="3" t="s">
        <v>19</v>
      </c>
      <c r="D442" s="3" t="str">
        <f>"470 / 2013"</f>
        <v>470 / 2013</v>
      </c>
      <c r="E442" s="4">
        <v>41470</v>
      </c>
      <c r="F442" s="3" t="s">
        <v>1027</v>
      </c>
      <c r="G442" s="5"/>
      <c r="H442" s="3" t="s">
        <v>1028</v>
      </c>
      <c r="I442" s="3" t="str">
        <f t="shared" ref="I442:I450" si="27">"16 / 10-07-2013"</f>
        <v>16 / 10-07-2013</v>
      </c>
      <c r="J442" s="4">
        <v>41465</v>
      </c>
      <c r="K442" s="6">
        <v>0.79166666666666663</v>
      </c>
      <c r="L442" s="3">
        <v>19</v>
      </c>
      <c r="M442" s="3" t="s">
        <v>534</v>
      </c>
      <c r="N442" s="3" t="s">
        <v>534</v>
      </c>
      <c r="O442" s="5"/>
      <c r="P442" s="3" t="s">
        <v>22</v>
      </c>
      <c r="Q442" s="7"/>
      <c r="R442" s="7"/>
    </row>
    <row r="443" spans="1:18" ht="51" x14ac:dyDescent="0.25">
      <c r="A443" s="3" t="s">
        <v>18</v>
      </c>
      <c r="B443" s="3">
        <v>2013</v>
      </c>
      <c r="C443" s="3" t="s">
        <v>19</v>
      </c>
      <c r="D443" s="3" t="str">
        <f>"472 / 2013"</f>
        <v>472 / 2013</v>
      </c>
      <c r="E443" s="4">
        <v>41484</v>
      </c>
      <c r="F443" s="3" t="s">
        <v>1029</v>
      </c>
      <c r="G443" s="5"/>
      <c r="H443" s="3" t="s">
        <v>1030</v>
      </c>
      <c r="I443" s="3" t="str">
        <f t="shared" si="27"/>
        <v>16 / 10-07-2013</v>
      </c>
      <c r="J443" s="4">
        <v>41465</v>
      </c>
      <c r="K443" s="6">
        <v>0.79166666666666663</v>
      </c>
      <c r="L443" s="3">
        <v>20</v>
      </c>
      <c r="M443" s="3" t="s">
        <v>56</v>
      </c>
      <c r="N443" s="3" t="s">
        <v>56</v>
      </c>
      <c r="O443" s="5"/>
      <c r="P443" s="3" t="s">
        <v>22</v>
      </c>
      <c r="Q443" s="7"/>
      <c r="R443" s="7"/>
    </row>
    <row r="444" spans="1:18" ht="38.25" x14ac:dyDescent="0.25">
      <c r="A444" s="3" t="s">
        <v>18</v>
      </c>
      <c r="B444" s="3">
        <v>2013</v>
      </c>
      <c r="C444" s="3" t="s">
        <v>19</v>
      </c>
      <c r="D444" s="3" t="str">
        <f>"473 / 2013"</f>
        <v>473 / 2013</v>
      </c>
      <c r="E444" s="4">
        <v>41486</v>
      </c>
      <c r="F444" s="3" t="s">
        <v>1031</v>
      </c>
      <c r="G444" s="5"/>
      <c r="H444" s="3" t="s">
        <v>1032</v>
      </c>
      <c r="I444" s="3" t="str">
        <f t="shared" si="27"/>
        <v>16 / 10-07-2013</v>
      </c>
      <c r="J444" s="4">
        <v>41465</v>
      </c>
      <c r="K444" s="6">
        <v>0.79166666666666663</v>
      </c>
      <c r="L444" s="3">
        <v>20</v>
      </c>
      <c r="M444" s="3" t="s">
        <v>56</v>
      </c>
      <c r="N444" s="3" t="s">
        <v>56</v>
      </c>
      <c r="O444" s="5"/>
      <c r="P444" s="3" t="s">
        <v>22</v>
      </c>
      <c r="Q444" s="7"/>
      <c r="R444" s="7"/>
    </row>
    <row r="445" spans="1:18" ht="38.25" x14ac:dyDescent="0.25">
      <c r="A445" s="3" t="s">
        <v>18</v>
      </c>
      <c r="B445" s="3">
        <v>2013</v>
      </c>
      <c r="C445" s="3" t="s">
        <v>19</v>
      </c>
      <c r="D445" s="3" t="str">
        <f>"474 / 2013"</f>
        <v>474 / 2013</v>
      </c>
      <c r="E445" s="4">
        <v>41486</v>
      </c>
      <c r="F445" s="3" t="s">
        <v>1033</v>
      </c>
      <c r="G445" s="5"/>
      <c r="H445" s="3" t="s">
        <v>1034</v>
      </c>
      <c r="I445" s="3" t="str">
        <f t="shared" si="27"/>
        <v>16 / 10-07-2013</v>
      </c>
      <c r="J445" s="4">
        <v>41465</v>
      </c>
      <c r="K445" s="6">
        <v>0.79166666666666663</v>
      </c>
      <c r="L445" s="3">
        <v>20</v>
      </c>
      <c r="M445" s="3" t="s">
        <v>56</v>
      </c>
      <c r="N445" s="3" t="s">
        <v>56</v>
      </c>
      <c r="O445" s="5"/>
      <c r="P445" s="3" t="s">
        <v>22</v>
      </c>
      <c r="Q445" s="7"/>
      <c r="R445" s="7"/>
    </row>
    <row r="446" spans="1:18" ht="38.25" x14ac:dyDescent="0.25">
      <c r="A446" s="3" t="s">
        <v>18</v>
      </c>
      <c r="B446" s="3">
        <v>2013</v>
      </c>
      <c r="C446" s="3" t="s">
        <v>19</v>
      </c>
      <c r="D446" s="3" t="str">
        <f>"475 / 2013"</f>
        <v>475 / 2013</v>
      </c>
      <c r="E446" s="4">
        <v>41485</v>
      </c>
      <c r="F446" s="3" t="s">
        <v>1035</v>
      </c>
      <c r="G446" s="5"/>
      <c r="H446" s="3" t="s">
        <v>1036</v>
      </c>
      <c r="I446" s="3" t="str">
        <f t="shared" si="27"/>
        <v>16 / 10-07-2013</v>
      </c>
      <c r="J446" s="4">
        <v>41465</v>
      </c>
      <c r="K446" s="6">
        <v>0.79166666666666663</v>
      </c>
      <c r="L446" s="3">
        <v>20</v>
      </c>
      <c r="M446" s="3" t="s">
        <v>56</v>
      </c>
      <c r="N446" s="3" t="s">
        <v>56</v>
      </c>
      <c r="O446" s="5"/>
      <c r="P446" s="3" t="s">
        <v>22</v>
      </c>
      <c r="Q446" s="7"/>
      <c r="R446" s="7"/>
    </row>
    <row r="447" spans="1:18" ht="76.5" x14ac:dyDescent="0.25">
      <c r="A447" s="3" t="s">
        <v>18</v>
      </c>
      <c r="B447" s="3">
        <v>2013</v>
      </c>
      <c r="C447" s="3" t="s">
        <v>19</v>
      </c>
      <c r="D447" s="3" t="str">
        <f>"476 / 2013"</f>
        <v>476 / 2013</v>
      </c>
      <c r="E447" s="4">
        <v>41470</v>
      </c>
      <c r="F447" s="3" t="s">
        <v>1037</v>
      </c>
      <c r="G447" s="5"/>
      <c r="H447" s="3" t="s">
        <v>1038</v>
      </c>
      <c r="I447" s="3" t="str">
        <f t="shared" si="27"/>
        <v>16 / 10-07-2013</v>
      </c>
      <c r="J447" s="4">
        <v>41465</v>
      </c>
      <c r="K447" s="6">
        <v>0.79166666666666663</v>
      </c>
      <c r="L447" s="3">
        <v>21</v>
      </c>
      <c r="M447" s="3" t="s">
        <v>1039</v>
      </c>
      <c r="N447" s="3" t="s">
        <v>1039</v>
      </c>
      <c r="O447" s="5"/>
      <c r="P447" s="3" t="s">
        <v>22</v>
      </c>
      <c r="Q447" s="7"/>
      <c r="R447" s="7"/>
    </row>
    <row r="448" spans="1:18" ht="63.75" x14ac:dyDescent="0.25">
      <c r="A448" s="3" t="s">
        <v>18</v>
      </c>
      <c r="B448" s="3">
        <v>2013</v>
      </c>
      <c r="C448" s="3" t="s">
        <v>19</v>
      </c>
      <c r="D448" s="3" t="str">
        <f>"477 / 2013"</f>
        <v>477 / 2013</v>
      </c>
      <c r="E448" s="4">
        <v>41470</v>
      </c>
      <c r="F448" s="3" t="s">
        <v>1040</v>
      </c>
      <c r="G448" s="5"/>
      <c r="H448" s="3" t="s">
        <v>1041</v>
      </c>
      <c r="I448" s="3" t="str">
        <f t="shared" si="27"/>
        <v>16 / 10-07-2013</v>
      </c>
      <c r="J448" s="4">
        <v>41465</v>
      </c>
      <c r="K448" s="6">
        <v>0.79166666666666663</v>
      </c>
      <c r="L448" s="3">
        <v>21</v>
      </c>
      <c r="M448" s="3" t="s">
        <v>1039</v>
      </c>
      <c r="N448" s="3" t="s">
        <v>1039</v>
      </c>
      <c r="O448" s="5"/>
      <c r="P448" s="3" t="s">
        <v>22</v>
      </c>
      <c r="Q448" s="7"/>
      <c r="R448" s="7"/>
    </row>
    <row r="449" spans="1:18" ht="89.25" x14ac:dyDescent="0.25">
      <c r="A449" s="3" t="s">
        <v>18</v>
      </c>
      <c r="B449" s="3">
        <v>2013</v>
      </c>
      <c r="C449" s="3" t="s">
        <v>19</v>
      </c>
      <c r="D449" s="3" t="str">
        <f>"478 / 2013"</f>
        <v>478 / 2013</v>
      </c>
      <c r="E449" s="4">
        <v>41491</v>
      </c>
      <c r="F449" s="3" t="s">
        <v>1042</v>
      </c>
      <c r="G449" s="5"/>
      <c r="H449" s="3" t="s">
        <v>1043</v>
      </c>
      <c r="I449" s="3" t="str">
        <f t="shared" si="27"/>
        <v>16 / 10-07-2013</v>
      </c>
      <c r="J449" s="4">
        <v>41465</v>
      </c>
      <c r="K449" s="6">
        <v>0.79166666666666663</v>
      </c>
      <c r="L449" s="3">
        <v>22</v>
      </c>
      <c r="M449" s="3" t="s">
        <v>56</v>
      </c>
      <c r="N449" s="3" t="s">
        <v>56</v>
      </c>
      <c r="O449" s="5"/>
      <c r="P449" s="3" t="s">
        <v>22</v>
      </c>
      <c r="Q449" s="7"/>
      <c r="R449" s="7"/>
    </row>
    <row r="450" spans="1:18" ht="51" x14ac:dyDescent="0.25">
      <c r="A450" s="3" t="s">
        <v>18</v>
      </c>
      <c r="B450" s="3">
        <v>2013</v>
      </c>
      <c r="C450" s="3" t="s">
        <v>19</v>
      </c>
      <c r="D450" s="3" t="str">
        <f>"479 / 2013"</f>
        <v>479 / 2013</v>
      </c>
      <c r="E450" s="4">
        <v>41512</v>
      </c>
      <c r="F450" s="3" t="s">
        <v>1044</v>
      </c>
      <c r="G450" s="5"/>
      <c r="H450" s="3" t="s">
        <v>1045</v>
      </c>
      <c r="I450" s="3" t="str">
        <f t="shared" si="27"/>
        <v>16 / 10-07-2013</v>
      </c>
      <c r="J450" s="4">
        <v>41465</v>
      </c>
      <c r="K450" s="6">
        <v>0.79166666666666663</v>
      </c>
      <c r="L450" s="3">
        <v>22</v>
      </c>
      <c r="M450" s="3" t="s">
        <v>56</v>
      </c>
      <c r="N450" s="3" t="s">
        <v>56</v>
      </c>
      <c r="O450" s="5"/>
      <c r="P450" s="3" t="s">
        <v>22</v>
      </c>
      <c r="Q450" s="7"/>
      <c r="R450" s="7"/>
    </row>
    <row r="451" spans="1:18" ht="63.75" x14ac:dyDescent="0.25">
      <c r="A451" s="3" t="s">
        <v>18</v>
      </c>
      <c r="B451" s="3">
        <v>2013</v>
      </c>
      <c r="C451" s="3" t="s">
        <v>19</v>
      </c>
      <c r="D451" s="3" t="str">
        <f>"48/2013"</f>
        <v>48/2013</v>
      </c>
      <c r="E451" s="4">
        <v>41304</v>
      </c>
      <c r="F451" s="3" t="s">
        <v>1046</v>
      </c>
      <c r="G451" s="5"/>
      <c r="H451" s="3" t="s">
        <v>1047</v>
      </c>
      <c r="I451" s="3" t="str">
        <f>"4/30-01-2013"</f>
        <v>4/30-01-2013</v>
      </c>
      <c r="J451" s="4">
        <v>41304</v>
      </c>
      <c r="K451" s="6">
        <v>0.79166666666666663</v>
      </c>
      <c r="L451" s="3">
        <v>10</v>
      </c>
      <c r="M451" s="3" t="s">
        <v>62</v>
      </c>
      <c r="N451" s="3" t="s">
        <v>62</v>
      </c>
      <c r="O451" s="5"/>
      <c r="P451" s="3" t="s">
        <v>22</v>
      </c>
      <c r="Q451" s="7"/>
      <c r="R451" s="7"/>
    </row>
    <row r="452" spans="1:18" ht="76.5" x14ac:dyDescent="0.25">
      <c r="A452" s="3" t="s">
        <v>18</v>
      </c>
      <c r="B452" s="3">
        <v>2013</v>
      </c>
      <c r="C452" s="3" t="s">
        <v>19</v>
      </c>
      <c r="D452" s="3" t="str">
        <f>"480 / 2013"</f>
        <v>480 / 2013</v>
      </c>
      <c r="E452" s="4">
        <v>41473</v>
      </c>
      <c r="F452" s="3" t="s">
        <v>1048</v>
      </c>
      <c r="G452" s="5"/>
      <c r="H452" s="3" t="s">
        <v>1049</v>
      </c>
      <c r="I452" s="3" t="str">
        <f t="shared" ref="I452:I461" si="28">"16 / 10-07-2013"</f>
        <v>16 / 10-07-2013</v>
      </c>
      <c r="J452" s="4">
        <v>41465</v>
      </c>
      <c r="K452" s="6">
        <v>0.79166666666666663</v>
      </c>
      <c r="L452" s="3">
        <v>23</v>
      </c>
      <c r="M452" s="3" t="s">
        <v>56</v>
      </c>
      <c r="N452" s="3" t="s">
        <v>56</v>
      </c>
      <c r="O452" s="5"/>
      <c r="P452" s="3" t="s">
        <v>22</v>
      </c>
      <c r="Q452" s="7"/>
      <c r="R452" s="7"/>
    </row>
    <row r="453" spans="1:18" ht="63.75" x14ac:dyDescent="0.25">
      <c r="A453" s="3" t="s">
        <v>18</v>
      </c>
      <c r="B453" s="3">
        <v>2013</v>
      </c>
      <c r="C453" s="3" t="s">
        <v>19</v>
      </c>
      <c r="D453" s="3" t="str">
        <f>"481 / 2013"</f>
        <v>481 / 2013</v>
      </c>
      <c r="E453" s="4">
        <v>41473</v>
      </c>
      <c r="F453" s="3" t="s">
        <v>1050</v>
      </c>
      <c r="G453" s="5"/>
      <c r="H453" s="3" t="s">
        <v>1051</v>
      </c>
      <c r="I453" s="3" t="str">
        <f t="shared" si="28"/>
        <v>16 / 10-07-2013</v>
      </c>
      <c r="J453" s="4">
        <v>41465</v>
      </c>
      <c r="K453" s="6">
        <v>0.79166666666666663</v>
      </c>
      <c r="L453" s="3">
        <v>24</v>
      </c>
      <c r="M453" s="3" t="s">
        <v>1052</v>
      </c>
      <c r="N453" s="3" t="s">
        <v>1052</v>
      </c>
      <c r="O453" s="5"/>
      <c r="P453" s="3" t="s">
        <v>22</v>
      </c>
      <c r="Q453" s="7"/>
      <c r="R453" s="7"/>
    </row>
    <row r="454" spans="1:18" ht="76.5" x14ac:dyDescent="0.25">
      <c r="A454" s="3" t="s">
        <v>18</v>
      </c>
      <c r="B454" s="3">
        <v>2013</v>
      </c>
      <c r="C454" s="3" t="s">
        <v>19</v>
      </c>
      <c r="D454" s="3" t="str">
        <f>"482 / 2013"</f>
        <v>482 / 2013</v>
      </c>
      <c r="E454" s="4">
        <v>41477</v>
      </c>
      <c r="F454" s="3" t="s">
        <v>1053</v>
      </c>
      <c r="G454" s="5"/>
      <c r="H454" s="3" t="s">
        <v>1054</v>
      </c>
      <c r="I454" s="3" t="str">
        <f t="shared" si="28"/>
        <v>16 / 10-07-2013</v>
      </c>
      <c r="J454" s="4">
        <v>41465</v>
      </c>
      <c r="K454" s="6">
        <v>0.79166666666666663</v>
      </c>
      <c r="L454" s="3">
        <v>25</v>
      </c>
      <c r="M454" s="3" t="s">
        <v>56</v>
      </c>
      <c r="N454" s="3" t="s">
        <v>56</v>
      </c>
      <c r="O454" s="5"/>
      <c r="P454" s="3" t="s">
        <v>22</v>
      </c>
      <c r="Q454" s="7"/>
      <c r="R454" s="7"/>
    </row>
    <row r="455" spans="1:18" ht="51" x14ac:dyDescent="0.25">
      <c r="A455" s="3" t="s">
        <v>18</v>
      </c>
      <c r="B455" s="3">
        <v>2013</v>
      </c>
      <c r="C455" s="3" t="s">
        <v>19</v>
      </c>
      <c r="D455" s="3" t="str">
        <f>"483 / 2013"</f>
        <v>483 / 2013</v>
      </c>
      <c r="E455" s="4">
        <v>41477</v>
      </c>
      <c r="F455" s="3" t="s">
        <v>1055</v>
      </c>
      <c r="G455" s="5"/>
      <c r="H455" s="3" t="s">
        <v>1056</v>
      </c>
      <c r="I455" s="3" t="str">
        <f t="shared" si="28"/>
        <v>16 / 10-07-2013</v>
      </c>
      <c r="J455" s="4">
        <v>41465</v>
      </c>
      <c r="K455" s="6">
        <v>0.79166666666666663</v>
      </c>
      <c r="L455" s="3">
        <v>25</v>
      </c>
      <c r="M455" s="3" t="s">
        <v>56</v>
      </c>
      <c r="N455" s="3" t="s">
        <v>56</v>
      </c>
      <c r="O455" s="5"/>
      <c r="P455" s="3" t="s">
        <v>22</v>
      </c>
      <c r="Q455" s="7"/>
      <c r="R455" s="7"/>
    </row>
    <row r="456" spans="1:18" ht="76.5" x14ac:dyDescent="0.25">
      <c r="A456" s="3" t="s">
        <v>18</v>
      </c>
      <c r="B456" s="3">
        <v>2013</v>
      </c>
      <c r="C456" s="3" t="s">
        <v>19</v>
      </c>
      <c r="D456" s="3" t="str">
        <f>"484 / 2013"</f>
        <v>484 / 2013</v>
      </c>
      <c r="E456" s="4">
        <v>41477</v>
      </c>
      <c r="F456" s="3" t="s">
        <v>1057</v>
      </c>
      <c r="G456" s="5"/>
      <c r="H456" s="3" t="s">
        <v>1058</v>
      </c>
      <c r="I456" s="3" t="str">
        <f t="shared" si="28"/>
        <v>16 / 10-07-2013</v>
      </c>
      <c r="J456" s="4">
        <v>41465</v>
      </c>
      <c r="K456" s="6">
        <v>0.79166666666666663</v>
      </c>
      <c r="L456" s="3">
        <v>25</v>
      </c>
      <c r="M456" s="3" t="s">
        <v>56</v>
      </c>
      <c r="N456" s="3" t="s">
        <v>56</v>
      </c>
      <c r="O456" s="5"/>
      <c r="P456" s="3" t="s">
        <v>22</v>
      </c>
      <c r="Q456" s="7"/>
      <c r="R456" s="7"/>
    </row>
    <row r="457" spans="1:18" ht="63.75" x14ac:dyDescent="0.25">
      <c r="A457" s="3" t="s">
        <v>18</v>
      </c>
      <c r="B457" s="3">
        <v>2013</v>
      </c>
      <c r="C457" s="3" t="s">
        <v>19</v>
      </c>
      <c r="D457" s="3" t="str">
        <f>"485 / 2013"</f>
        <v>485 / 2013</v>
      </c>
      <c r="E457" s="4">
        <v>41477</v>
      </c>
      <c r="F457" s="3" t="s">
        <v>1059</v>
      </c>
      <c r="G457" s="5"/>
      <c r="H457" s="3" t="s">
        <v>1060</v>
      </c>
      <c r="I457" s="3" t="str">
        <f t="shared" si="28"/>
        <v>16 / 10-07-2013</v>
      </c>
      <c r="J457" s="4">
        <v>41465</v>
      </c>
      <c r="K457" s="6">
        <v>0.79166666666666663</v>
      </c>
      <c r="L457" s="3">
        <v>25</v>
      </c>
      <c r="M457" s="3" t="s">
        <v>56</v>
      </c>
      <c r="N457" s="3" t="s">
        <v>56</v>
      </c>
      <c r="O457" s="5"/>
      <c r="P457" s="3" t="s">
        <v>22</v>
      </c>
      <c r="Q457" s="7"/>
      <c r="R457" s="7"/>
    </row>
    <row r="458" spans="1:18" ht="51" x14ac:dyDescent="0.25">
      <c r="A458" s="3" t="s">
        <v>18</v>
      </c>
      <c r="B458" s="3">
        <v>2013</v>
      </c>
      <c r="C458" s="3" t="s">
        <v>19</v>
      </c>
      <c r="D458" s="3" t="str">
        <f>"486 / 2013"</f>
        <v>486 / 2013</v>
      </c>
      <c r="E458" s="4">
        <v>41473</v>
      </c>
      <c r="F458" s="3" t="s">
        <v>1061</v>
      </c>
      <c r="G458" s="5"/>
      <c r="H458" s="3" t="s">
        <v>1062</v>
      </c>
      <c r="I458" s="3" t="str">
        <f t="shared" si="28"/>
        <v>16 / 10-07-2013</v>
      </c>
      <c r="J458" s="4">
        <v>41465</v>
      </c>
      <c r="K458" s="6">
        <v>0.79166666666666663</v>
      </c>
      <c r="L458" s="3">
        <v>26</v>
      </c>
      <c r="M458" s="3" t="s">
        <v>56</v>
      </c>
      <c r="N458" s="3" t="s">
        <v>56</v>
      </c>
      <c r="O458" s="5"/>
      <c r="P458" s="3" t="s">
        <v>22</v>
      </c>
      <c r="Q458" s="7"/>
      <c r="R458" s="7"/>
    </row>
    <row r="459" spans="1:18" ht="63.75" x14ac:dyDescent="0.25">
      <c r="A459" s="3" t="s">
        <v>18</v>
      </c>
      <c r="B459" s="3">
        <v>2013</v>
      </c>
      <c r="C459" s="3" t="s">
        <v>19</v>
      </c>
      <c r="D459" s="3" t="str">
        <f>"487 / 2013"</f>
        <v>487 / 2013</v>
      </c>
      <c r="E459" s="4">
        <v>41473</v>
      </c>
      <c r="F459" s="3" t="s">
        <v>1063</v>
      </c>
      <c r="G459" s="5"/>
      <c r="H459" s="3" t="s">
        <v>1064</v>
      </c>
      <c r="I459" s="3" t="str">
        <f t="shared" si="28"/>
        <v>16 / 10-07-2013</v>
      </c>
      <c r="J459" s="4">
        <v>41465</v>
      </c>
      <c r="K459" s="6">
        <v>0.79166666666666663</v>
      </c>
      <c r="L459" s="3">
        <v>26</v>
      </c>
      <c r="M459" s="3" t="s">
        <v>56</v>
      </c>
      <c r="N459" s="3" t="s">
        <v>56</v>
      </c>
      <c r="O459" s="5"/>
      <c r="P459" s="3" t="s">
        <v>22</v>
      </c>
      <c r="Q459" s="7"/>
      <c r="R459" s="7"/>
    </row>
    <row r="460" spans="1:18" ht="63.75" x14ac:dyDescent="0.25">
      <c r="A460" s="3" t="s">
        <v>18</v>
      </c>
      <c r="B460" s="3">
        <v>2013</v>
      </c>
      <c r="C460" s="3" t="s">
        <v>19</v>
      </c>
      <c r="D460" s="3" t="str">
        <f>"488 / 2013"</f>
        <v>488 / 2013</v>
      </c>
      <c r="E460" s="4">
        <v>41473</v>
      </c>
      <c r="F460" s="3" t="s">
        <v>1065</v>
      </c>
      <c r="G460" s="5"/>
      <c r="H460" s="3" t="s">
        <v>1066</v>
      </c>
      <c r="I460" s="3" t="str">
        <f t="shared" si="28"/>
        <v>16 / 10-07-2013</v>
      </c>
      <c r="J460" s="4">
        <v>41465</v>
      </c>
      <c r="K460" s="6">
        <v>0.79166666666666663</v>
      </c>
      <c r="L460" s="3">
        <v>26</v>
      </c>
      <c r="M460" s="3" t="s">
        <v>56</v>
      </c>
      <c r="N460" s="3" t="s">
        <v>56</v>
      </c>
      <c r="O460" s="5"/>
      <c r="P460" s="3" t="s">
        <v>22</v>
      </c>
      <c r="Q460" s="7"/>
      <c r="R460" s="7"/>
    </row>
    <row r="461" spans="1:18" ht="51" x14ac:dyDescent="0.25">
      <c r="A461" s="3" t="s">
        <v>18</v>
      </c>
      <c r="B461" s="3">
        <v>2013</v>
      </c>
      <c r="C461" s="3" t="s">
        <v>19</v>
      </c>
      <c r="D461" s="3" t="str">
        <f>"489 / 2013"</f>
        <v>489 / 2013</v>
      </c>
      <c r="E461" s="4">
        <v>41467</v>
      </c>
      <c r="F461" s="3" t="s">
        <v>1067</v>
      </c>
      <c r="G461" s="5"/>
      <c r="H461" s="3" t="s">
        <v>1068</v>
      </c>
      <c r="I461" s="3" t="str">
        <f t="shared" si="28"/>
        <v>16 / 10-07-2013</v>
      </c>
      <c r="J461" s="4">
        <v>41465</v>
      </c>
      <c r="K461" s="6">
        <v>0.79166666666666663</v>
      </c>
      <c r="L461" s="3">
        <v>27</v>
      </c>
      <c r="M461" s="3" t="s">
        <v>32</v>
      </c>
      <c r="N461" s="3" t="s">
        <v>32</v>
      </c>
      <c r="O461" s="5"/>
      <c r="P461" s="3" t="s">
        <v>22</v>
      </c>
      <c r="Q461" s="7"/>
      <c r="R461" s="7"/>
    </row>
    <row r="462" spans="1:18" ht="51" x14ac:dyDescent="0.25">
      <c r="A462" s="3" t="s">
        <v>18</v>
      </c>
      <c r="B462" s="3">
        <v>2013</v>
      </c>
      <c r="C462" s="3" t="s">
        <v>19</v>
      </c>
      <c r="D462" s="3" t="str">
        <f>"49/2013"</f>
        <v>49/2013</v>
      </c>
      <c r="E462" s="4">
        <v>41304</v>
      </c>
      <c r="F462" s="3" t="s">
        <v>1069</v>
      </c>
      <c r="G462" s="5"/>
      <c r="H462" s="3" t="s">
        <v>1070</v>
      </c>
      <c r="I462" s="3" t="str">
        <f>"4/30-01-2013"</f>
        <v>4/30-01-2013</v>
      </c>
      <c r="J462" s="4">
        <v>41304</v>
      </c>
      <c r="K462" s="6">
        <v>0.79166666666666663</v>
      </c>
      <c r="L462" s="3">
        <v>11</v>
      </c>
      <c r="M462" s="3" t="s">
        <v>1071</v>
      </c>
      <c r="N462" s="3" t="s">
        <v>1071</v>
      </c>
      <c r="O462" s="5"/>
      <c r="P462" s="3" t="s">
        <v>22</v>
      </c>
      <c r="Q462" s="7"/>
      <c r="R462" s="7"/>
    </row>
    <row r="463" spans="1:18" ht="51" x14ac:dyDescent="0.25">
      <c r="A463" s="3" t="s">
        <v>18</v>
      </c>
      <c r="B463" s="3">
        <v>2013</v>
      </c>
      <c r="C463" s="3" t="s">
        <v>19</v>
      </c>
      <c r="D463" s="3" t="str">
        <f>"490 / 2013"</f>
        <v>490 / 2013</v>
      </c>
      <c r="E463" s="4">
        <v>41470</v>
      </c>
      <c r="F463" s="3" t="s">
        <v>1072</v>
      </c>
      <c r="G463" s="5"/>
      <c r="H463" s="3" t="s">
        <v>1073</v>
      </c>
      <c r="I463" s="3" t="str">
        <f t="shared" ref="I463:I470" si="29">"16 / 10-07-2013"</f>
        <v>16 / 10-07-2013</v>
      </c>
      <c r="J463" s="4">
        <v>41465</v>
      </c>
      <c r="K463" s="6">
        <v>0.79166666666666663</v>
      </c>
      <c r="L463" s="3">
        <v>27</v>
      </c>
      <c r="M463" s="3" t="s">
        <v>32</v>
      </c>
      <c r="N463" s="3" t="s">
        <v>32</v>
      </c>
      <c r="O463" s="5"/>
      <c r="P463" s="3" t="s">
        <v>22</v>
      </c>
      <c r="Q463" s="7"/>
      <c r="R463" s="7"/>
    </row>
    <row r="464" spans="1:18" ht="51" x14ac:dyDescent="0.25">
      <c r="A464" s="3" t="s">
        <v>18</v>
      </c>
      <c r="B464" s="3">
        <v>2013</v>
      </c>
      <c r="C464" s="3" t="s">
        <v>19</v>
      </c>
      <c r="D464" s="3" t="str">
        <f>"492 / 2013"</f>
        <v>492 / 2013</v>
      </c>
      <c r="E464" s="4">
        <v>41470</v>
      </c>
      <c r="F464" s="3" t="s">
        <v>1074</v>
      </c>
      <c r="G464" s="5"/>
      <c r="H464" s="3" t="s">
        <v>1075</v>
      </c>
      <c r="I464" s="3" t="str">
        <f t="shared" si="29"/>
        <v>16 / 10-07-2013</v>
      </c>
      <c r="J464" s="4">
        <v>41465</v>
      </c>
      <c r="K464" s="6">
        <v>0.79166666666666663</v>
      </c>
      <c r="L464" s="3">
        <v>27</v>
      </c>
      <c r="M464" s="3" t="s">
        <v>32</v>
      </c>
      <c r="N464" s="3" t="s">
        <v>32</v>
      </c>
      <c r="O464" s="5"/>
      <c r="P464" s="3" t="s">
        <v>22</v>
      </c>
      <c r="Q464" s="7"/>
      <c r="R464" s="7"/>
    </row>
    <row r="465" spans="1:18" ht="76.5" x14ac:dyDescent="0.25">
      <c r="A465" s="3" t="s">
        <v>18</v>
      </c>
      <c r="B465" s="3">
        <v>2013</v>
      </c>
      <c r="C465" s="3" t="s">
        <v>19</v>
      </c>
      <c r="D465" s="3" t="str">
        <f>"494 / 2013"</f>
        <v>494 / 2013</v>
      </c>
      <c r="E465" s="4">
        <v>41477</v>
      </c>
      <c r="F465" s="3" t="s">
        <v>1076</v>
      </c>
      <c r="G465" s="5"/>
      <c r="H465" s="3" t="s">
        <v>1077</v>
      </c>
      <c r="I465" s="3" t="str">
        <f t="shared" si="29"/>
        <v>16 / 10-07-2013</v>
      </c>
      <c r="J465" s="4">
        <v>41465</v>
      </c>
      <c r="K465" s="6">
        <v>0.79166666666666663</v>
      </c>
      <c r="L465" s="3">
        <v>27</v>
      </c>
      <c r="M465" s="3" t="s">
        <v>1078</v>
      </c>
      <c r="N465" s="3" t="s">
        <v>1078</v>
      </c>
      <c r="O465" s="5"/>
      <c r="P465" s="3" t="s">
        <v>22</v>
      </c>
      <c r="Q465" s="7"/>
      <c r="R465" s="7"/>
    </row>
    <row r="466" spans="1:18" ht="89.25" x14ac:dyDescent="0.25">
      <c r="A466" s="3" t="s">
        <v>18</v>
      </c>
      <c r="B466" s="3">
        <v>2013</v>
      </c>
      <c r="C466" s="3" t="s">
        <v>19</v>
      </c>
      <c r="D466" s="3" t="str">
        <f>"495 / 2013"</f>
        <v>495 / 2013</v>
      </c>
      <c r="E466" s="4">
        <v>41477</v>
      </c>
      <c r="F466" s="3" t="s">
        <v>1079</v>
      </c>
      <c r="G466" s="5"/>
      <c r="H466" s="3" t="s">
        <v>1080</v>
      </c>
      <c r="I466" s="3" t="str">
        <f t="shared" si="29"/>
        <v>16 / 10-07-2013</v>
      </c>
      <c r="J466" s="4">
        <v>41465</v>
      </c>
      <c r="K466" s="6">
        <v>0.79166666666666663</v>
      </c>
      <c r="L466" s="3">
        <v>27</v>
      </c>
      <c r="M466" s="3" t="s">
        <v>1078</v>
      </c>
      <c r="N466" s="3" t="s">
        <v>1078</v>
      </c>
      <c r="O466" s="5"/>
      <c r="P466" s="3" t="s">
        <v>22</v>
      </c>
      <c r="Q466" s="7"/>
      <c r="R466" s="7"/>
    </row>
    <row r="467" spans="1:18" ht="51" x14ac:dyDescent="0.25">
      <c r="A467" s="3" t="s">
        <v>18</v>
      </c>
      <c r="B467" s="3">
        <v>2013</v>
      </c>
      <c r="C467" s="3" t="s">
        <v>19</v>
      </c>
      <c r="D467" s="3" t="str">
        <f>"496 / 2013"</f>
        <v>496 / 2013</v>
      </c>
      <c r="E467" s="4">
        <v>41473</v>
      </c>
      <c r="F467" s="3" t="s">
        <v>1081</v>
      </c>
      <c r="G467" s="5"/>
      <c r="H467" s="3" t="s">
        <v>1082</v>
      </c>
      <c r="I467" s="3" t="str">
        <f t="shared" si="29"/>
        <v>16 / 10-07-2013</v>
      </c>
      <c r="J467" s="4">
        <v>41465</v>
      </c>
      <c r="K467" s="6">
        <v>0.79166666666666663</v>
      </c>
      <c r="L467" s="3">
        <v>27</v>
      </c>
      <c r="M467" s="3" t="s">
        <v>132</v>
      </c>
      <c r="N467" s="3" t="s">
        <v>132</v>
      </c>
      <c r="O467" s="5"/>
      <c r="P467" s="3" t="s">
        <v>22</v>
      </c>
      <c r="Q467" s="7"/>
      <c r="R467" s="7"/>
    </row>
    <row r="468" spans="1:18" ht="63.75" x14ac:dyDescent="0.25">
      <c r="A468" s="3" t="s">
        <v>18</v>
      </c>
      <c r="B468" s="3">
        <v>2013</v>
      </c>
      <c r="C468" s="3" t="s">
        <v>19</v>
      </c>
      <c r="D468" s="3" t="str">
        <f>"497 / 2013"</f>
        <v>497 / 2013</v>
      </c>
      <c r="E468" s="4">
        <v>41473</v>
      </c>
      <c r="F468" s="3" t="s">
        <v>1083</v>
      </c>
      <c r="G468" s="5"/>
      <c r="H468" s="3" t="s">
        <v>1084</v>
      </c>
      <c r="I468" s="3" t="str">
        <f t="shared" si="29"/>
        <v>16 / 10-07-2013</v>
      </c>
      <c r="J468" s="4">
        <v>41465</v>
      </c>
      <c r="K468" s="6">
        <v>0.79166666666666663</v>
      </c>
      <c r="L468" s="3">
        <v>27</v>
      </c>
      <c r="M468" s="3" t="s">
        <v>132</v>
      </c>
      <c r="N468" s="3" t="s">
        <v>132</v>
      </c>
      <c r="O468" s="5"/>
      <c r="P468" s="3" t="s">
        <v>22</v>
      </c>
      <c r="Q468" s="7"/>
      <c r="R468" s="7"/>
    </row>
    <row r="469" spans="1:18" ht="63.75" x14ac:dyDescent="0.25">
      <c r="A469" s="3" t="s">
        <v>18</v>
      </c>
      <c r="B469" s="3">
        <v>2013</v>
      </c>
      <c r="C469" s="3" t="s">
        <v>19</v>
      </c>
      <c r="D469" s="3" t="str">
        <f>"498 / 2013"</f>
        <v>498 / 2013</v>
      </c>
      <c r="E469" s="4">
        <v>41473</v>
      </c>
      <c r="F469" s="3" t="s">
        <v>1085</v>
      </c>
      <c r="G469" s="5"/>
      <c r="H469" s="3" t="s">
        <v>1086</v>
      </c>
      <c r="I469" s="3" t="str">
        <f t="shared" si="29"/>
        <v>16 / 10-07-2013</v>
      </c>
      <c r="J469" s="4">
        <v>41465</v>
      </c>
      <c r="K469" s="6">
        <v>0.79166666666666663</v>
      </c>
      <c r="L469" s="3">
        <v>27</v>
      </c>
      <c r="M469" s="3" t="s">
        <v>132</v>
      </c>
      <c r="N469" s="3" t="s">
        <v>132</v>
      </c>
      <c r="O469" s="5"/>
      <c r="P469" s="3" t="s">
        <v>22</v>
      </c>
      <c r="Q469" s="7"/>
      <c r="R469" s="7"/>
    </row>
    <row r="470" spans="1:18" ht="63.75" x14ac:dyDescent="0.25">
      <c r="A470" s="3" t="s">
        <v>18</v>
      </c>
      <c r="B470" s="3">
        <v>2013</v>
      </c>
      <c r="C470" s="3" t="s">
        <v>19</v>
      </c>
      <c r="D470" s="3" t="str">
        <f>"499 / 2013"</f>
        <v>499 / 2013</v>
      </c>
      <c r="E470" s="4">
        <v>41473</v>
      </c>
      <c r="F470" s="3" t="s">
        <v>1087</v>
      </c>
      <c r="G470" s="5"/>
      <c r="H470" s="3" t="s">
        <v>1088</v>
      </c>
      <c r="I470" s="3" t="str">
        <f t="shared" si="29"/>
        <v>16 / 10-07-2013</v>
      </c>
      <c r="J470" s="4">
        <v>41465</v>
      </c>
      <c r="K470" s="6">
        <v>0.79166666666666663</v>
      </c>
      <c r="L470" s="3">
        <v>27</v>
      </c>
      <c r="M470" s="3" t="s">
        <v>132</v>
      </c>
      <c r="N470" s="3" t="s">
        <v>132</v>
      </c>
      <c r="O470" s="5"/>
      <c r="P470" s="3" t="s">
        <v>22</v>
      </c>
      <c r="Q470" s="7"/>
      <c r="R470" s="7"/>
    </row>
    <row r="471" spans="1:18" ht="89.25" x14ac:dyDescent="0.25">
      <c r="A471" s="3" t="s">
        <v>18</v>
      </c>
      <c r="B471" s="3">
        <v>2013</v>
      </c>
      <c r="C471" s="3" t="s">
        <v>19</v>
      </c>
      <c r="D471" s="3" t="str">
        <f>"50/2013"</f>
        <v>50/2013</v>
      </c>
      <c r="E471" s="4">
        <v>41325</v>
      </c>
      <c r="F471" s="3" t="s">
        <v>1089</v>
      </c>
      <c r="G471" s="5"/>
      <c r="H471" s="3" t="s">
        <v>1090</v>
      </c>
      <c r="I471" s="3" t="str">
        <f>"5/20-02-2013"</f>
        <v>5/20-02-2013</v>
      </c>
      <c r="J471" s="4">
        <v>41325</v>
      </c>
      <c r="K471" s="6">
        <v>0.79166666666666663</v>
      </c>
      <c r="L471" s="3">
        <v>1</v>
      </c>
      <c r="M471" s="3" t="s">
        <v>162</v>
      </c>
      <c r="N471" s="3" t="s">
        <v>162</v>
      </c>
      <c r="O471" s="5"/>
      <c r="P471" s="3" t="s">
        <v>22</v>
      </c>
      <c r="Q471" s="7"/>
      <c r="R471" s="7"/>
    </row>
    <row r="472" spans="1:18" ht="63.75" x14ac:dyDescent="0.25">
      <c r="A472" s="3" t="s">
        <v>18</v>
      </c>
      <c r="B472" s="3">
        <v>2013</v>
      </c>
      <c r="C472" s="3" t="s">
        <v>19</v>
      </c>
      <c r="D472" s="3" t="str">
        <f>"501 / 2013"</f>
        <v>501 / 2013</v>
      </c>
      <c r="E472" s="4">
        <v>41473</v>
      </c>
      <c r="F472" s="3" t="s">
        <v>1091</v>
      </c>
      <c r="G472" s="5"/>
      <c r="H472" s="3" t="s">
        <v>1092</v>
      </c>
      <c r="I472" s="3" t="str">
        <f t="shared" ref="I472:I479" si="30">"16 / 10-07-2013"</f>
        <v>16 / 10-07-2013</v>
      </c>
      <c r="J472" s="4">
        <v>41465</v>
      </c>
      <c r="K472" s="6">
        <v>0.79166666666666663</v>
      </c>
      <c r="L472" s="3">
        <v>27</v>
      </c>
      <c r="M472" s="3" t="s">
        <v>132</v>
      </c>
      <c r="N472" s="3" t="s">
        <v>132</v>
      </c>
      <c r="O472" s="5"/>
      <c r="P472" s="3" t="s">
        <v>22</v>
      </c>
      <c r="Q472" s="7"/>
      <c r="R472" s="7"/>
    </row>
    <row r="473" spans="1:18" ht="51" x14ac:dyDescent="0.25">
      <c r="A473" s="3" t="s">
        <v>18</v>
      </c>
      <c r="B473" s="3">
        <v>2013</v>
      </c>
      <c r="C473" s="3" t="s">
        <v>19</v>
      </c>
      <c r="D473" s="3" t="str">
        <f>"502 / 2013"</f>
        <v>502 / 2013</v>
      </c>
      <c r="E473" s="4">
        <v>41478</v>
      </c>
      <c r="F473" s="3" t="s">
        <v>1093</v>
      </c>
      <c r="G473" s="5"/>
      <c r="H473" s="3" t="s">
        <v>1094</v>
      </c>
      <c r="I473" s="3" t="str">
        <f t="shared" si="30"/>
        <v>16 / 10-07-2013</v>
      </c>
      <c r="J473" s="4">
        <v>41465</v>
      </c>
      <c r="K473" s="6">
        <v>0.79166666666666663</v>
      </c>
      <c r="L473" s="3">
        <v>27</v>
      </c>
      <c r="M473" s="3" t="s">
        <v>132</v>
      </c>
      <c r="N473" s="3" t="s">
        <v>132</v>
      </c>
      <c r="O473" s="5"/>
      <c r="P473" s="3" t="s">
        <v>22</v>
      </c>
      <c r="Q473" s="7"/>
      <c r="R473" s="7"/>
    </row>
    <row r="474" spans="1:18" ht="51" x14ac:dyDescent="0.25">
      <c r="A474" s="3" t="s">
        <v>18</v>
      </c>
      <c r="B474" s="3">
        <v>2013</v>
      </c>
      <c r="C474" s="3" t="s">
        <v>19</v>
      </c>
      <c r="D474" s="3" t="str">
        <f>"503 / 2013"</f>
        <v>503 / 2013</v>
      </c>
      <c r="E474" s="4">
        <v>41478</v>
      </c>
      <c r="F474" s="3" t="s">
        <v>1095</v>
      </c>
      <c r="G474" s="5"/>
      <c r="H474" s="3" t="s">
        <v>1096</v>
      </c>
      <c r="I474" s="3" t="str">
        <f t="shared" si="30"/>
        <v>16 / 10-07-2013</v>
      </c>
      <c r="J474" s="4">
        <v>41465</v>
      </c>
      <c r="K474" s="6">
        <v>0.79166666666666663</v>
      </c>
      <c r="L474" s="3">
        <v>27</v>
      </c>
      <c r="M474" s="3" t="s">
        <v>132</v>
      </c>
      <c r="N474" s="3" t="s">
        <v>132</v>
      </c>
      <c r="O474" s="5"/>
      <c r="P474" s="3" t="s">
        <v>22</v>
      </c>
      <c r="Q474" s="7"/>
      <c r="R474" s="7"/>
    </row>
    <row r="475" spans="1:18" ht="51" x14ac:dyDescent="0.25">
      <c r="A475" s="3" t="s">
        <v>18</v>
      </c>
      <c r="B475" s="3">
        <v>2013</v>
      </c>
      <c r="C475" s="3" t="s">
        <v>19</v>
      </c>
      <c r="D475" s="3" t="str">
        <f>"504 / 2013"</f>
        <v>504 / 2013</v>
      </c>
      <c r="E475" s="4">
        <v>41478</v>
      </c>
      <c r="F475" s="3" t="s">
        <v>1097</v>
      </c>
      <c r="G475" s="5"/>
      <c r="H475" s="3" t="s">
        <v>1098</v>
      </c>
      <c r="I475" s="3" t="str">
        <f t="shared" si="30"/>
        <v>16 / 10-07-2013</v>
      </c>
      <c r="J475" s="4">
        <v>41465</v>
      </c>
      <c r="K475" s="6">
        <v>0.79166666666666663</v>
      </c>
      <c r="L475" s="3">
        <v>27</v>
      </c>
      <c r="M475" s="3" t="s">
        <v>132</v>
      </c>
      <c r="N475" s="3" t="s">
        <v>132</v>
      </c>
      <c r="O475" s="5"/>
      <c r="P475" s="3" t="s">
        <v>22</v>
      </c>
      <c r="Q475" s="7"/>
      <c r="R475" s="7"/>
    </row>
    <row r="476" spans="1:18" ht="51" x14ac:dyDescent="0.25">
      <c r="A476" s="3" t="s">
        <v>18</v>
      </c>
      <c r="B476" s="3">
        <v>2013</v>
      </c>
      <c r="C476" s="3" t="s">
        <v>19</v>
      </c>
      <c r="D476" s="3" t="str">
        <f>"505 / 2013"</f>
        <v>505 / 2013</v>
      </c>
      <c r="E476" s="4">
        <v>41479</v>
      </c>
      <c r="F476" s="3" t="s">
        <v>1099</v>
      </c>
      <c r="G476" s="5"/>
      <c r="H476" s="3" t="s">
        <v>1100</v>
      </c>
      <c r="I476" s="3" t="str">
        <f t="shared" si="30"/>
        <v>16 / 10-07-2013</v>
      </c>
      <c r="J476" s="4">
        <v>41465</v>
      </c>
      <c r="K476" s="6">
        <v>0.79166666666666663</v>
      </c>
      <c r="L476" s="3">
        <v>27</v>
      </c>
      <c r="M476" s="3" t="s">
        <v>132</v>
      </c>
      <c r="N476" s="3" t="s">
        <v>132</v>
      </c>
      <c r="O476" s="5"/>
      <c r="P476" s="3" t="s">
        <v>22</v>
      </c>
      <c r="Q476" s="7"/>
      <c r="R476" s="7"/>
    </row>
    <row r="477" spans="1:18" ht="38.25" x14ac:dyDescent="0.25">
      <c r="A477" s="3" t="s">
        <v>18</v>
      </c>
      <c r="B477" s="3">
        <v>2013</v>
      </c>
      <c r="C477" s="3" t="s">
        <v>19</v>
      </c>
      <c r="D477" s="3" t="str">
        <f>"506 / 2013"</f>
        <v>506 / 2013</v>
      </c>
      <c r="E477" s="4">
        <v>41493</v>
      </c>
      <c r="F477" s="3" t="s">
        <v>1101</v>
      </c>
      <c r="G477" s="5"/>
      <c r="H477" s="3" t="s">
        <v>1102</v>
      </c>
      <c r="I477" s="3" t="str">
        <f t="shared" si="30"/>
        <v>16 / 10-07-2013</v>
      </c>
      <c r="J477" s="4">
        <v>41465</v>
      </c>
      <c r="K477" s="6">
        <v>0.79166666666666663</v>
      </c>
      <c r="L477" s="3">
        <v>27</v>
      </c>
      <c r="M477" s="3" t="s">
        <v>132</v>
      </c>
      <c r="N477" s="3" t="s">
        <v>132</v>
      </c>
      <c r="O477" s="5"/>
      <c r="P477" s="3" t="s">
        <v>22</v>
      </c>
      <c r="Q477" s="7"/>
      <c r="R477" s="7"/>
    </row>
    <row r="478" spans="1:18" ht="38.25" x14ac:dyDescent="0.25">
      <c r="A478" s="3" t="s">
        <v>18</v>
      </c>
      <c r="B478" s="3">
        <v>2013</v>
      </c>
      <c r="C478" s="3" t="s">
        <v>19</v>
      </c>
      <c r="D478" s="3" t="str">
        <f>"507 / 2013"</f>
        <v>507 / 2013</v>
      </c>
      <c r="E478" s="4">
        <v>41479</v>
      </c>
      <c r="F478" s="3" t="s">
        <v>1103</v>
      </c>
      <c r="G478" s="5"/>
      <c r="H478" s="3" t="s">
        <v>1104</v>
      </c>
      <c r="I478" s="3" t="str">
        <f t="shared" si="30"/>
        <v>16 / 10-07-2013</v>
      </c>
      <c r="J478" s="4">
        <v>41465</v>
      </c>
      <c r="K478" s="6">
        <v>0.79166666666666663</v>
      </c>
      <c r="L478" s="3">
        <v>27</v>
      </c>
      <c r="M478" s="3" t="s">
        <v>132</v>
      </c>
      <c r="N478" s="3" t="s">
        <v>132</v>
      </c>
      <c r="O478" s="5"/>
      <c r="P478" s="3" t="s">
        <v>22</v>
      </c>
      <c r="Q478" s="7"/>
      <c r="R478" s="7"/>
    </row>
    <row r="479" spans="1:18" ht="76.5" x14ac:dyDescent="0.25">
      <c r="A479" s="3" t="s">
        <v>18</v>
      </c>
      <c r="B479" s="3">
        <v>2013</v>
      </c>
      <c r="C479" s="3" t="s">
        <v>19</v>
      </c>
      <c r="D479" s="3" t="str">
        <f>"508 / 2013"</f>
        <v>508 / 2013</v>
      </c>
      <c r="E479" s="4">
        <v>41467</v>
      </c>
      <c r="F479" s="3" t="s">
        <v>1105</v>
      </c>
      <c r="G479" s="5"/>
      <c r="H479" s="3" t="s">
        <v>1106</v>
      </c>
      <c r="I479" s="3" t="str">
        <f t="shared" si="30"/>
        <v>16 / 10-07-2013</v>
      </c>
      <c r="J479" s="4">
        <v>41465</v>
      </c>
      <c r="K479" s="6">
        <v>0.79166666666666663</v>
      </c>
      <c r="L479" s="5"/>
      <c r="M479" s="5"/>
      <c r="N479" s="5"/>
      <c r="O479" s="5"/>
      <c r="P479" s="3" t="s">
        <v>74</v>
      </c>
      <c r="Q479" s="7"/>
      <c r="R479" s="7"/>
    </row>
    <row r="480" spans="1:18" ht="114.75" x14ac:dyDescent="0.25">
      <c r="A480" s="3" t="s">
        <v>18</v>
      </c>
      <c r="B480" s="3">
        <v>2013</v>
      </c>
      <c r="C480" s="3" t="s">
        <v>19</v>
      </c>
      <c r="D480" s="3" t="str">
        <f>"51/2013"</f>
        <v>51/2013</v>
      </c>
      <c r="E480" s="4">
        <v>41325</v>
      </c>
      <c r="F480" s="3" t="s">
        <v>1107</v>
      </c>
      <c r="G480" s="5"/>
      <c r="H480" s="3" t="s">
        <v>1108</v>
      </c>
      <c r="I480" s="3" t="str">
        <f>"5/20-02-2013"</f>
        <v>5/20-02-2013</v>
      </c>
      <c r="J480" s="4">
        <v>41325</v>
      </c>
      <c r="K480" s="6">
        <v>0.79166666666666663</v>
      </c>
      <c r="L480" s="3">
        <v>2</v>
      </c>
      <c r="M480" s="3" t="s">
        <v>1109</v>
      </c>
      <c r="N480" s="3" t="s">
        <v>1109</v>
      </c>
      <c r="O480" s="5"/>
      <c r="P480" s="3" t="s">
        <v>22</v>
      </c>
      <c r="Q480" s="7"/>
      <c r="R480" s="7"/>
    </row>
    <row r="481" spans="1:18" ht="51" x14ac:dyDescent="0.25">
      <c r="A481" s="3" t="s">
        <v>18</v>
      </c>
      <c r="B481" s="3">
        <v>2013</v>
      </c>
      <c r="C481" s="3" t="s">
        <v>19</v>
      </c>
      <c r="D481" s="3" t="str">
        <f>"512 / 2013"</f>
        <v>512 / 2013</v>
      </c>
      <c r="E481" s="4">
        <v>41481</v>
      </c>
      <c r="F481" s="3" t="s">
        <v>1110</v>
      </c>
      <c r="G481" s="5"/>
      <c r="H481" s="3" t="s">
        <v>1111</v>
      </c>
      <c r="I481" s="3" t="str">
        <f t="shared" ref="I481:I487" si="31">"17 / 24-07-2013"</f>
        <v>17 / 24-07-2013</v>
      </c>
      <c r="J481" s="4">
        <v>41479</v>
      </c>
      <c r="K481" s="6">
        <v>0.79166666666666663</v>
      </c>
      <c r="L481" s="3">
        <v>2</v>
      </c>
      <c r="M481" s="3" t="s">
        <v>32</v>
      </c>
      <c r="N481" s="3" t="s">
        <v>32</v>
      </c>
      <c r="O481" s="5"/>
      <c r="P481" s="3" t="s">
        <v>22</v>
      </c>
      <c r="Q481" s="7"/>
      <c r="R481" s="7"/>
    </row>
    <row r="482" spans="1:18" ht="38.25" x14ac:dyDescent="0.25">
      <c r="A482" s="3" t="s">
        <v>18</v>
      </c>
      <c r="B482" s="3">
        <v>2013</v>
      </c>
      <c r="C482" s="3" t="s">
        <v>19</v>
      </c>
      <c r="D482" s="3" t="str">
        <f>"513 / 2013"</f>
        <v>513 / 2013</v>
      </c>
      <c r="E482" s="4">
        <v>41536</v>
      </c>
      <c r="F482" s="3" t="s">
        <v>1112</v>
      </c>
      <c r="G482" s="5"/>
      <c r="H482" s="3" t="s">
        <v>1113</v>
      </c>
      <c r="I482" s="3" t="str">
        <f t="shared" si="31"/>
        <v>17 / 24-07-2013</v>
      </c>
      <c r="J482" s="4">
        <v>41479</v>
      </c>
      <c r="K482" s="6">
        <v>0.79166666666666663</v>
      </c>
      <c r="L482" s="3">
        <v>3</v>
      </c>
      <c r="M482" s="3" t="s">
        <v>1114</v>
      </c>
      <c r="N482" s="5"/>
      <c r="O482" s="5"/>
      <c r="P482" s="3" t="s">
        <v>22</v>
      </c>
      <c r="Q482" s="7"/>
      <c r="R482" s="7"/>
    </row>
    <row r="483" spans="1:18" ht="51" x14ac:dyDescent="0.25">
      <c r="A483" s="3" t="s">
        <v>18</v>
      </c>
      <c r="B483" s="3">
        <v>2013</v>
      </c>
      <c r="C483" s="3" t="s">
        <v>19</v>
      </c>
      <c r="D483" s="3" t="str">
        <f>"514 / 2013"</f>
        <v>514 / 2013</v>
      </c>
      <c r="E483" s="4">
        <v>41488</v>
      </c>
      <c r="F483" s="3" t="s">
        <v>1115</v>
      </c>
      <c r="G483" s="5"/>
      <c r="H483" s="3" t="s">
        <v>1116</v>
      </c>
      <c r="I483" s="3" t="str">
        <f t="shared" si="31"/>
        <v>17 / 24-07-2013</v>
      </c>
      <c r="J483" s="4">
        <v>41479</v>
      </c>
      <c r="K483" s="6">
        <v>0.79166666666666663</v>
      </c>
      <c r="L483" s="3">
        <v>4</v>
      </c>
      <c r="M483" s="3" t="s">
        <v>32</v>
      </c>
      <c r="N483" s="3" t="s">
        <v>32</v>
      </c>
      <c r="O483" s="5"/>
      <c r="P483" s="3" t="s">
        <v>22</v>
      </c>
      <c r="Q483" s="7"/>
      <c r="R483" s="7"/>
    </row>
    <row r="484" spans="1:18" ht="63.75" x14ac:dyDescent="0.25">
      <c r="A484" s="3" t="s">
        <v>18</v>
      </c>
      <c r="B484" s="3">
        <v>2013</v>
      </c>
      <c r="C484" s="3" t="s">
        <v>19</v>
      </c>
      <c r="D484" s="3" t="str">
        <f>"515 / 2013"</f>
        <v>515 / 2013</v>
      </c>
      <c r="E484" s="4">
        <v>41480</v>
      </c>
      <c r="F484" s="3" t="s">
        <v>1117</v>
      </c>
      <c r="G484" s="5"/>
      <c r="H484" s="3" t="s">
        <v>1118</v>
      </c>
      <c r="I484" s="3" t="str">
        <f t="shared" si="31"/>
        <v>17 / 24-07-2013</v>
      </c>
      <c r="J484" s="4">
        <v>41479</v>
      </c>
      <c r="K484" s="6">
        <v>0.79166666666666663</v>
      </c>
      <c r="L484" s="3">
        <v>5</v>
      </c>
      <c r="M484" s="3" t="s">
        <v>1119</v>
      </c>
      <c r="N484" s="3" t="s">
        <v>1119</v>
      </c>
      <c r="O484" s="5"/>
      <c r="P484" s="3" t="s">
        <v>22</v>
      </c>
      <c r="Q484" s="7"/>
      <c r="R484" s="7"/>
    </row>
    <row r="485" spans="1:18" ht="51" x14ac:dyDescent="0.25">
      <c r="A485" s="3" t="s">
        <v>18</v>
      </c>
      <c r="B485" s="3">
        <v>2013</v>
      </c>
      <c r="C485" s="3" t="s">
        <v>19</v>
      </c>
      <c r="D485" s="3" t="str">
        <f>"516 / 2013"</f>
        <v>516 / 2013</v>
      </c>
      <c r="E485" s="4">
        <v>41484</v>
      </c>
      <c r="F485" s="3" t="s">
        <v>1120</v>
      </c>
      <c r="G485" s="5"/>
      <c r="H485" s="3" t="s">
        <v>1121</v>
      </c>
      <c r="I485" s="3" t="str">
        <f t="shared" si="31"/>
        <v>17 / 24-07-2013</v>
      </c>
      <c r="J485" s="4">
        <v>41479</v>
      </c>
      <c r="K485" s="6">
        <v>0.79166666666666663</v>
      </c>
      <c r="L485" s="3">
        <v>6</v>
      </c>
      <c r="M485" s="3" t="s">
        <v>1122</v>
      </c>
      <c r="N485" s="3" t="s">
        <v>1122</v>
      </c>
      <c r="O485" s="5"/>
      <c r="P485" s="3" t="s">
        <v>22</v>
      </c>
      <c r="Q485" s="7"/>
      <c r="R485" s="7"/>
    </row>
    <row r="486" spans="1:18" ht="51" x14ac:dyDescent="0.25">
      <c r="A486" s="3" t="s">
        <v>18</v>
      </c>
      <c r="B486" s="3">
        <v>2013</v>
      </c>
      <c r="C486" s="3" t="s">
        <v>19</v>
      </c>
      <c r="D486" s="3" t="str">
        <f>"517 / 2013"</f>
        <v>517 / 2013</v>
      </c>
      <c r="E486" s="4">
        <v>41487</v>
      </c>
      <c r="F486" s="3" t="s">
        <v>1123</v>
      </c>
      <c r="G486" s="5"/>
      <c r="H486" s="3" t="s">
        <v>1124</v>
      </c>
      <c r="I486" s="3" t="str">
        <f t="shared" si="31"/>
        <v>17 / 24-07-2013</v>
      </c>
      <c r="J486" s="4">
        <v>41479</v>
      </c>
      <c r="K486" s="6">
        <v>0.79166666666666663</v>
      </c>
      <c r="L486" s="3">
        <v>7</v>
      </c>
      <c r="M486" s="3" t="s">
        <v>1125</v>
      </c>
      <c r="N486" s="3" t="s">
        <v>1125</v>
      </c>
      <c r="O486" s="5"/>
      <c r="P486" s="3" t="s">
        <v>22</v>
      </c>
      <c r="Q486" s="7"/>
      <c r="R486" s="7"/>
    </row>
    <row r="487" spans="1:18" ht="76.5" x14ac:dyDescent="0.25">
      <c r="A487" s="3" t="s">
        <v>18</v>
      </c>
      <c r="B487" s="3">
        <v>2013</v>
      </c>
      <c r="C487" s="3" t="s">
        <v>19</v>
      </c>
      <c r="D487" s="3" t="str">
        <f>"519 / 2013"</f>
        <v>519 / 2013</v>
      </c>
      <c r="E487" s="4">
        <v>41514</v>
      </c>
      <c r="F487" s="3" t="s">
        <v>1126</v>
      </c>
      <c r="G487" s="5"/>
      <c r="H487" s="3" t="s">
        <v>1127</v>
      </c>
      <c r="I487" s="3" t="str">
        <f t="shared" si="31"/>
        <v>17 / 24-07-2013</v>
      </c>
      <c r="J487" s="4">
        <v>41479</v>
      </c>
      <c r="K487" s="6">
        <v>0.79166666666666663</v>
      </c>
      <c r="L487" s="3">
        <v>9</v>
      </c>
      <c r="M487" s="3" t="s">
        <v>352</v>
      </c>
      <c r="N487" s="3" t="s">
        <v>352</v>
      </c>
      <c r="O487" s="5"/>
      <c r="P487" s="3" t="s">
        <v>22</v>
      </c>
      <c r="Q487" s="7"/>
      <c r="R487" s="7"/>
    </row>
    <row r="488" spans="1:18" ht="76.5" x14ac:dyDescent="0.25">
      <c r="A488" s="3" t="s">
        <v>18</v>
      </c>
      <c r="B488" s="3">
        <v>2013</v>
      </c>
      <c r="C488" s="3" t="s">
        <v>19</v>
      </c>
      <c r="D488" s="3" t="str">
        <f>"52/2013"</f>
        <v>52/2013</v>
      </c>
      <c r="E488" s="4">
        <v>41325</v>
      </c>
      <c r="F488" s="3" t="s">
        <v>1128</v>
      </c>
      <c r="G488" s="5"/>
      <c r="H488" s="3" t="s">
        <v>1129</v>
      </c>
      <c r="I488" s="3" t="str">
        <f>"5/20-02-2013"</f>
        <v>5/20-02-2013</v>
      </c>
      <c r="J488" s="4">
        <v>41325</v>
      </c>
      <c r="K488" s="6">
        <v>0.79166666666666663</v>
      </c>
      <c r="L488" s="3">
        <v>3</v>
      </c>
      <c r="M488" s="3" t="s">
        <v>1130</v>
      </c>
      <c r="N488" s="3" t="s">
        <v>1130</v>
      </c>
      <c r="O488" s="5"/>
      <c r="P488" s="3" t="s">
        <v>22</v>
      </c>
      <c r="Q488" s="7"/>
      <c r="R488" s="7"/>
    </row>
    <row r="489" spans="1:18" ht="102" x14ac:dyDescent="0.25">
      <c r="A489" s="3" t="s">
        <v>18</v>
      </c>
      <c r="B489" s="3">
        <v>2013</v>
      </c>
      <c r="C489" s="3" t="s">
        <v>19</v>
      </c>
      <c r="D489" s="3" t="str">
        <f>"520 / 2013"</f>
        <v>520 / 2013</v>
      </c>
      <c r="E489" s="4">
        <v>41488</v>
      </c>
      <c r="F489" s="3" t="s">
        <v>1131</v>
      </c>
      <c r="G489" s="5"/>
      <c r="H489" s="3" t="s">
        <v>1132</v>
      </c>
      <c r="I489" s="3" t="str">
        <f t="shared" ref="I489:I498" si="32">"17 / 24-07-2013"</f>
        <v>17 / 24-07-2013</v>
      </c>
      <c r="J489" s="4">
        <v>41479</v>
      </c>
      <c r="K489" s="6">
        <v>0.79166666666666663</v>
      </c>
      <c r="L489" s="3">
        <v>10</v>
      </c>
      <c r="M489" s="3" t="s">
        <v>56</v>
      </c>
      <c r="N489" s="3" t="s">
        <v>56</v>
      </c>
      <c r="O489" s="5"/>
      <c r="P489" s="3" t="s">
        <v>22</v>
      </c>
      <c r="Q489" s="7"/>
      <c r="R489" s="7"/>
    </row>
    <row r="490" spans="1:18" ht="76.5" x14ac:dyDescent="0.25">
      <c r="A490" s="3" t="s">
        <v>18</v>
      </c>
      <c r="B490" s="3">
        <v>2013</v>
      </c>
      <c r="C490" s="3" t="s">
        <v>19</v>
      </c>
      <c r="D490" s="3" t="str">
        <f>"521 / 2013"</f>
        <v>521 / 2013</v>
      </c>
      <c r="E490" s="4">
        <v>41486</v>
      </c>
      <c r="F490" s="3" t="s">
        <v>1133</v>
      </c>
      <c r="G490" s="5"/>
      <c r="H490" s="3" t="s">
        <v>1134</v>
      </c>
      <c r="I490" s="3" t="str">
        <f t="shared" si="32"/>
        <v>17 / 24-07-2013</v>
      </c>
      <c r="J490" s="4">
        <v>41479</v>
      </c>
      <c r="K490" s="6">
        <v>0.79166666666666663</v>
      </c>
      <c r="L490" s="3">
        <v>11</v>
      </c>
      <c r="M490" s="3" t="s">
        <v>1135</v>
      </c>
      <c r="N490" s="3" t="s">
        <v>1135</v>
      </c>
      <c r="O490" s="5"/>
      <c r="P490" s="3" t="s">
        <v>22</v>
      </c>
      <c r="Q490" s="7"/>
      <c r="R490" s="7"/>
    </row>
    <row r="491" spans="1:18" ht="51" x14ac:dyDescent="0.25">
      <c r="A491" s="3" t="s">
        <v>18</v>
      </c>
      <c r="B491" s="3">
        <v>2013</v>
      </c>
      <c r="C491" s="3" t="s">
        <v>19</v>
      </c>
      <c r="D491" s="3" t="str">
        <f>"522 / 2013"</f>
        <v>522 / 2013</v>
      </c>
      <c r="E491" s="4">
        <v>41492</v>
      </c>
      <c r="F491" s="3" t="s">
        <v>1136</v>
      </c>
      <c r="G491" s="5"/>
      <c r="H491" s="3" t="s">
        <v>1137</v>
      </c>
      <c r="I491" s="3" t="str">
        <f t="shared" si="32"/>
        <v>17 / 24-07-2013</v>
      </c>
      <c r="J491" s="4">
        <v>41479</v>
      </c>
      <c r="K491" s="6">
        <v>0.79166666666666663</v>
      </c>
      <c r="L491" s="3">
        <v>12</v>
      </c>
      <c r="M491" s="3" t="s">
        <v>442</v>
      </c>
      <c r="N491" s="3" t="s">
        <v>442</v>
      </c>
      <c r="O491" s="5"/>
      <c r="P491" s="3" t="s">
        <v>22</v>
      </c>
      <c r="Q491" s="7"/>
      <c r="R491" s="7"/>
    </row>
    <row r="492" spans="1:18" ht="38.25" x14ac:dyDescent="0.25">
      <c r="A492" s="3" t="s">
        <v>18</v>
      </c>
      <c r="B492" s="3">
        <v>2013</v>
      </c>
      <c r="C492" s="3" t="s">
        <v>19</v>
      </c>
      <c r="D492" s="3" t="str">
        <f>"523 / 2013"</f>
        <v>523 / 2013</v>
      </c>
      <c r="E492" s="4">
        <v>41480</v>
      </c>
      <c r="F492" s="3" t="s">
        <v>1138</v>
      </c>
      <c r="G492" s="5"/>
      <c r="H492" s="3" t="s">
        <v>1139</v>
      </c>
      <c r="I492" s="3" t="str">
        <f t="shared" si="32"/>
        <v>17 / 24-07-2013</v>
      </c>
      <c r="J492" s="4">
        <v>41479</v>
      </c>
      <c r="K492" s="6">
        <v>0.79166666666666663</v>
      </c>
      <c r="L492" s="3">
        <v>13</v>
      </c>
      <c r="M492" s="3" t="s">
        <v>50</v>
      </c>
      <c r="N492" s="3" t="s">
        <v>50</v>
      </c>
      <c r="O492" s="5"/>
      <c r="P492" s="3" t="s">
        <v>22</v>
      </c>
      <c r="Q492" s="7"/>
      <c r="R492" s="7"/>
    </row>
    <row r="493" spans="1:18" ht="127.5" x14ac:dyDescent="0.25">
      <c r="A493" s="3" t="s">
        <v>18</v>
      </c>
      <c r="B493" s="3">
        <v>2013</v>
      </c>
      <c r="C493" s="3" t="s">
        <v>19</v>
      </c>
      <c r="D493" s="3" t="str">
        <f>"524 / 2013"</f>
        <v>524 / 2013</v>
      </c>
      <c r="E493" s="4">
        <v>41512</v>
      </c>
      <c r="F493" s="3" t="s">
        <v>1140</v>
      </c>
      <c r="G493" s="5"/>
      <c r="H493" s="3" t="s">
        <v>1141</v>
      </c>
      <c r="I493" s="3" t="str">
        <f t="shared" si="32"/>
        <v>17 / 24-07-2013</v>
      </c>
      <c r="J493" s="4">
        <v>41479</v>
      </c>
      <c r="K493" s="6">
        <v>0.79166666666666663</v>
      </c>
      <c r="L493" s="3">
        <v>14</v>
      </c>
      <c r="M493" s="3" t="s">
        <v>324</v>
      </c>
      <c r="N493" s="3" t="s">
        <v>324</v>
      </c>
      <c r="O493" s="5"/>
      <c r="P493" s="3" t="s">
        <v>22</v>
      </c>
      <c r="Q493" s="7"/>
      <c r="R493" s="7"/>
    </row>
    <row r="494" spans="1:18" ht="140.25" x14ac:dyDescent="0.25">
      <c r="A494" s="3" t="s">
        <v>18</v>
      </c>
      <c r="B494" s="3">
        <v>2013</v>
      </c>
      <c r="C494" s="3" t="s">
        <v>19</v>
      </c>
      <c r="D494" s="3" t="str">
        <f>"525 / 2013"</f>
        <v>525 / 2013</v>
      </c>
      <c r="E494" s="4">
        <v>41512</v>
      </c>
      <c r="F494" s="3" t="s">
        <v>1142</v>
      </c>
      <c r="G494" s="5"/>
      <c r="H494" s="3" t="s">
        <v>1143</v>
      </c>
      <c r="I494" s="3" t="str">
        <f t="shared" si="32"/>
        <v>17 / 24-07-2013</v>
      </c>
      <c r="J494" s="4">
        <v>41479</v>
      </c>
      <c r="K494" s="6">
        <v>0.79166666666666663</v>
      </c>
      <c r="L494" s="3">
        <v>14</v>
      </c>
      <c r="M494" s="3" t="s">
        <v>324</v>
      </c>
      <c r="N494" s="3" t="s">
        <v>324</v>
      </c>
      <c r="O494" s="5"/>
      <c r="P494" s="3" t="s">
        <v>22</v>
      </c>
      <c r="Q494" s="7"/>
      <c r="R494" s="7"/>
    </row>
    <row r="495" spans="1:18" ht="89.25" x14ac:dyDescent="0.25">
      <c r="A495" s="3" t="s">
        <v>18</v>
      </c>
      <c r="B495" s="3">
        <v>2013</v>
      </c>
      <c r="C495" s="3" t="s">
        <v>19</v>
      </c>
      <c r="D495" s="3" t="str">
        <f>"526 / 2013"</f>
        <v>526 / 2013</v>
      </c>
      <c r="E495" s="4">
        <v>41507</v>
      </c>
      <c r="F495" s="3" t="s">
        <v>1144</v>
      </c>
      <c r="G495" s="5"/>
      <c r="H495" s="3" t="s">
        <v>1145</v>
      </c>
      <c r="I495" s="3" t="str">
        <f t="shared" si="32"/>
        <v>17 / 24-07-2013</v>
      </c>
      <c r="J495" s="4">
        <v>41479</v>
      </c>
      <c r="K495" s="6">
        <v>0.79166666666666663</v>
      </c>
      <c r="L495" s="3">
        <v>15</v>
      </c>
      <c r="M495" s="3" t="s">
        <v>56</v>
      </c>
      <c r="N495" s="3" t="s">
        <v>56</v>
      </c>
      <c r="O495" s="5"/>
      <c r="P495" s="3" t="s">
        <v>22</v>
      </c>
      <c r="Q495" s="7"/>
      <c r="R495" s="7"/>
    </row>
    <row r="496" spans="1:18" ht="89.25" x14ac:dyDescent="0.25">
      <c r="A496" s="3" t="s">
        <v>18</v>
      </c>
      <c r="B496" s="3">
        <v>2013</v>
      </c>
      <c r="C496" s="3" t="s">
        <v>19</v>
      </c>
      <c r="D496" s="3" t="str">
        <f>"527 / 2013"</f>
        <v>527 / 2013</v>
      </c>
      <c r="E496" s="4">
        <v>41481</v>
      </c>
      <c r="F496" s="3" t="s">
        <v>1146</v>
      </c>
      <c r="G496" s="5"/>
      <c r="H496" s="3" t="s">
        <v>1147</v>
      </c>
      <c r="I496" s="3" t="str">
        <f t="shared" si="32"/>
        <v>17 / 24-07-2013</v>
      </c>
      <c r="J496" s="4">
        <v>41479</v>
      </c>
      <c r="K496" s="6">
        <v>0.79166666666666663</v>
      </c>
      <c r="L496" s="3">
        <v>16</v>
      </c>
      <c r="M496" s="3" t="s">
        <v>126</v>
      </c>
      <c r="N496" s="3" t="s">
        <v>126</v>
      </c>
      <c r="O496" s="5"/>
      <c r="P496" s="3" t="s">
        <v>22</v>
      </c>
      <c r="Q496" s="7"/>
      <c r="R496" s="7"/>
    </row>
    <row r="497" spans="1:18" ht="51" x14ac:dyDescent="0.25">
      <c r="A497" s="3" t="s">
        <v>18</v>
      </c>
      <c r="B497" s="3">
        <v>2013</v>
      </c>
      <c r="C497" s="3" t="s">
        <v>19</v>
      </c>
      <c r="D497" s="3" t="str">
        <f>"528 / 2013"</f>
        <v>528 / 2013</v>
      </c>
      <c r="E497" s="4">
        <v>41481</v>
      </c>
      <c r="F497" s="3" t="s">
        <v>1148</v>
      </c>
      <c r="G497" s="5"/>
      <c r="H497" s="3" t="s">
        <v>1149</v>
      </c>
      <c r="I497" s="3" t="str">
        <f t="shared" si="32"/>
        <v>17 / 24-07-2013</v>
      </c>
      <c r="J497" s="4">
        <v>41479</v>
      </c>
      <c r="K497" s="6">
        <v>0.79166666666666663</v>
      </c>
      <c r="L497" s="3">
        <v>16</v>
      </c>
      <c r="M497" s="3" t="s">
        <v>126</v>
      </c>
      <c r="N497" s="3" t="s">
        <v>126</v>
      </c>
      <c r="O497" s="5"/>
      <c r="P497" s="3" t="s">
        <v>22</v>
      </c>
      <c r="Q497" s="7"/>
      <c r="R497" s="7"/>
    </row>
    <row r="498" spans="1:18" ht="51" x14ac:dyDescent="0.25">
      <c r="A498" s="3" t="s">
        <v>18</v>
      </c>
      <c r="B498" s="3">
        <v>2013</v>
      </c>
      <c r="C498" s="3" t="s">
        <v>19</v>
      </c>
      <c r="D498" s="3" t="str">
        <f>"529 / 2013"</f>
        <v>529 / 2013</v>
      </c>
      <c r="E498" s="4">
        <v>41488</v>
      </c>
      <c r="F498" s="3" t="s">
        <v>1150</v>
      </c>
      <c r="G498" s="5"/>
      <c r="H498" s="3" t="s">
        <v>1151</v>
      </c>
      <c r="I498" s="3" t="str">
        <f t="shared" si="32"/>
        <v>17 / 24-07-2013</v>
      </c>
      <c r="J498" s="4">
        <v>41479</v>
      </c>
      <c r="K498" s="6">
        <v>0.79166666666666663</v>
      </c>
      <c r="L498" s="3">
        <v>17</v>
      </c>
      <c r="M498" s="3" t="s">
        <v>572</v>
      </c>
      <c r="N498" s="3" t="s">
        <v>572</v>
      </c>
      <c r="O498" s="5"/>
      <c r="P498" s="3" t="s">
        <v>22</v>
      </c>
      <c r="Q498" s="7"/>
      <c r="R498" s="7"/>
    </row>
    <row r="499" spans="1:18" ht="102" x14ac:dyDescent="0.25">
      <c r="A499" s="3" t="s">
        <v>18</v>
      </c>
      <c r="B499" s="3">
        <v>2013</v>
      </c>
      <c r="C499" s="3" t="s">
        <v>19</v>
      </c>
      <c r="D499" s="3" t="str">
        <f>"53/2013"</f>
        <v>53/2013</v>
      </c>
      <c r="E499" s="4">
        <v>41325</v>
      </c>
      <c r="F499" s="3" t="s">
        <v>1152</v>
      </c>
      <c r="G499" s="5"/>
      <c r="H499" s="3" t="s">
        <v>1153</v>
      </c>
      <c r="I499" s="3" t="str">
        <f>"5/20-02-2013"</f>
        <v>5/20-02-2013</v>
      </c>
      <c r="J499" s="4">
        <v>41325</v>
      </c>
      <c r="K499" s="6">
        <v>0.79166666666666663</v>
      </c>
      <c r="L499" s="3">
        <v>4</v>
      </c>
      <c r="M499" s="3" t="s">
        <v>62</v>
      </c>
      <c r="N499" s="3" t="s">
        <v>62</v>
      </c>
      <c r="O499" s="5"/>
      <c r="P499" s="3" t="s">
        <v>22</v>
      </c>
      <c r="Q499" s="7"/>
      <c r="R499" s="7"/>
    </row>
    <row r="500" spans="1:18" ht="38.25" x14ac:dyDescent="0.25">
      <c r="A500" s="3" t="s">
        <v>18</v>
      </c>
      <c r="B500" s="3">
        <v>2013</v>
      </c>
      <c r="C500" s="3" t="s">
        <v>19</v>
      </c>
      <c r="D500" s="3" t="str">
        <f>"530 / 2013"</f>
        <v>530 / 2013</v>
      </c>
      <c r="E500" s="4">
        <v>41488</v>
      </c>
      <c r="F500" s="3" t="s">
        <v>1154</v>
      </c>
      <c r="G500" s="5"/>
      <c r="H500" s="3" t="s">
        <v>1155</v>
      </c>
      <c r="I500" s="3" t="str">
        <f t="shared" ref="I500:I506" si="33">"17 / 24-07-2013"</f>
        <v>17 / 24-07-2013</v>
      </c>
      <c r="J500" s="4">
        <v>41479</v>
      </c>
      <c r="K500" s="6">
        <v>0.79166666666666663</v>
      </c>
      <c r="L500" s="3">
        <v>18</v>
      </c>
      <c r="M500" s="3" t="s">
        <v>442</v>
      </c>
      <c r="N500" s="3" t="s">
        <v>442</v>
      </c>
      <c r="O500" s="5"/>
      <c r="P500" s="3" t="s">
        <v>22</v>
      </c>
      <c r="Q500" s="7"/>
      <c r="R500" s="7"/>
    </row>
    <row r="501" spans="1:18" ht="63.75" x14ac:dyDescent="0.25">
      <c r="A501" s="3" t="s">
        <v>18</v>
      </c>
      <c r="B501" s="3">
        <v>2013</v>
      </c>
      <c r="C501" s="3" t="s">
        <v>19</v>
      </c>
      <c r="D501" s="3" t="str">
        <f>"531 / 2013"</f>
        <v>531 / 2013</v>
      </c>
      <c r="E501" s="4">
        <v>41481</v>
      </c>
      <c r="F501" s="3" t="s">
        <v>1156</v>
      </c>
      <c r="G501" s="5"/>
      <c r="H501" s="3" t="s">
        <v>1157</v>
      </c>
      <c r="I501" s="3" t="str">
        <f t="shared" si="33"/>
        <v>17 / 24-07-2013</v>
      </c>
      <c r="J501" s="4">
        <v>41479</v>
      </c>
      <c r="K501" s="6">
        <v>0.79166666666666663</v>
      </c>
      <c r="L501" s="3">
        <v>19</v>
      </c>
      <c r="M501" s="3" t="s">
        <v>56</v>
      </c>
      <c r="N501" s="3" t="s">
        <v>56</v>
      </c>
      <c r="O501" s="5"/>
      <c r="P501" s="3" t="s">
        <v>22</v>
      </c>
      <c r="Q501" s="7"/>
      <c r="R501" s="7"/>
    </row>
    <row r="502" spans="1:18" ht="38.25" x14ac:dyDescent="0.25">
      <c r="A502" s="3" t="s">
        <v>18</v>
      </c>
      <c r="B502" s="3">
        <v>2013</v>
      </c>
      <c r="C502" s="3" t="s">
        <v>19</v>
      </c>
      <c r="D502" s="3" t="str">
        <f>"532 / 2013"</f>
        <v>532 / 2013</v>
      </c>
      <c r="E502" s="4">
        <v>41488</v>
      </c>
      <c r="F502" s="3" t="s">
        <v>1158</v>
      </c>
      <c r="G502" s="5"/>
      <c r="H502" s="3" t="s">
        <v>1159</v>
      </c>
      <c r="I502" s="3" t="str">
        <f t="shared" si="33"/>
        <v>17 / 24-07-2013</v>
      </c>
      <c r="J502" s="4">
        <v>41479</v>
      </c>
      <c r="K502" s="6">
        <v>0.79166666666666663</v>
      </c>
      <c r="L502" s="3">
        <v>20</v>
      </c>
      <c r="M502" s="3" t="s">
        <v>56</v>
      </c>
      <c r="N502" s="3" t="s">
        <v>56</v>
      </c>
      <c r="O502" s="5"/>
      <c r="P502" s="3" t="s">
        <v>22</v>
      </c>
      <c r="Q502" s="7"/>
      <c r="R502" s="7"/>
    </row>
    <row r="503" spans="1:18" ht="63.75" x14ac:dyDescent="0.25">
      <c r="A503" s="3" t="s">
        <v>18</v>
      </c>
      <c r="B503" s="3">
        <v>2013</v>
      </c>
      <c r="C503" s="3" t="s">
        <v>19</v>
      </c>
      <c r="D503" s="3" t="str">
        <f>"533 / 2013"</f>
        <v>533 / 2013</v>
      </c>
      <c r="E503" s="4">
        <v>41480</v>
      </c>
      <c r="F503" s="3" t="s">
        <v>1160</v>
      </c>
      <c r="G503" s="5"/>
      <c r="H503" s="3" t="s">
        <v>1161</v>
      </c>
      <c r="I503" s="3" t="str">
        <f t="shared" si="33"/>
        <v>17 / 24-07-2013</v>
      </c>
      <c r="J503" s="4">
        <v>41479</v>
      </c>
      <c r="K503" s="6">
        <v>0.79166666666666663</v>
      </c>
      <c r="L503" s="3">
        <v>21</v>
      </c>
      <c r="M503" s="3" t="s">
        <v>56</v>
      </c>
      <c r="N503" s="3" t="s">
        <v>56</v>
      </c>
      <c r="O503" s="5"/>
      <c r="P503" s="3" t="s">
        <v>22</v>
      </c>
      <c r="Q503" s="7"/>
      <c r="R503" s="7"/>
    </row>
    <row r="504" spans="1:18" ht="51" x14ac:dyDescent="0.25">
      <c r="A504" s="3" t="s">
        <v>18</v>
      </c>
      <c r="B504" s="3">
        <v>2013</v>
      </c>
      <c r="C504" s="3" t="s">
        <v>19</v>
      </c>
      <c r="D504" s="3" t="str">
        <f>"534 / 2013"</f>
        <v>534 / 2013</v>
      </c>
      <c r="E504" s="4">
        <v>41480</v>
      </c>
      <c r="F504" s="3" t="s">
        <v>1162</v>
      </c>
      <c r="G504" s="5"/>
      <c r="H504" s="3" t="s">
        <v>1163</v>
      </c>
      <c r="I504" s="3" t="str">
        <f t="shared" si="33"/>
        <v>17 / 24-07-2013</v>
      </c>
      <c r="J504" s="4">
        <v>41479</v>
      </c>
      <c r="K504" s="6">
        <v>0.79166666666666663</v>
      </c>
      <c r="L504" s="3">
        <v>22</v>
      </c>
      <c r="M504" s="3" t="s">
        <v>32</v>
      </c>
      <c r="N504" s="3" t="s">
        <v>32</v>
      </c>
      <c r="O504" s="5"/>
      <c r="P504" s="3" t="s">
        <v>22</v>
      </c>
      <c r="Q504" s="7"/>
      <c r="R504" s="7"/>
    </row>
    <row r="505" spans="1:18" ht="63.75" x14ac:dyDescent="0.25">
      <c r="A505" s="3" t="s">
        <v>18</v>
      </c>
      <c r="B505" s="3">
        <v>2013</v>
      </c>
      <c r="C505" s="3" t="s">
        <v>19</v>
      </c>
      <c r="D505" s="3" t="str">
        <f>"535 / 2013"</f>
        <v>535 / 2013</v>
      </c>
      <c r="E505" s="4">
        <v>41487</v>
      </c>
      <c r="F505" s="3" t="s">
        <v>1164</v>
      </c>
      <c r="G505" s="5"/>
      <c r="H505" s="3" t="s">
        <v>1165</v>
      </c>
      <c r="I505" s="3" t="str">
        <f t="shared" si="33"/>
        <v>17 / 24-07-2013</v>
      </c>
      <c r="J505" s="4">
        <v>41479</v>
      </c>
      <c r="K505" s="6">
        <v>0.79166666666666663</v>
      </c>
      <c r="L505" s="5"/>
      <c r="M505" s="3" t="s">
        <v>56</v>
      </c>
      <c r="N505" s="3" t="s">
        <v>56</v>
      </c>
      <c r="O505" s="5"/>
      <c r="P505" s="3" t="s">
        <v>74</v>
      </c>
      <c r="Q505" s="7"/>
      <c r="R505" s="7"/>
    </row>
    <row r="506" spans="1:18" ht="114.75" x14ac:dyDescent="0.25">
      <c r="A506" s="3" t="s">
        <v>18</v>
      </c>
      <c r="B506" s="3">
        <v>2013</v>
      </c>
      <c r="C506" s="3" t="s">
        <v>19</v>
      </c>
      <c r="D506" s="3" t="str">
        <f>"536 / 2013"</f>
        <v>536 / 2013</v>
      </c>
      <c r="E506" s="4">
        <v>41485</v>
      </c>
      <c r="F506" s="3" t="s">
        <v>1166</v>
      </c>
      <c r="G506" s="5"/>
      <c r="H506" s="3" t="s">
        <v>1167</v>
      </c>
      <c r="I506" s="3" t="str">
        <f t="shared" si="33"/>
        <v>17 / 24-07-2013</v>
      </c>
      <c r="J506" s="4">
        <v>41479</v>
      </c>
      <c r="K506" s="6">
        <v>0.79166666666666663</v>
      </c>
      <c r="L506" s="5"/>
      <c r="M506" s="3" t="s">
        <v>56</v>
      </c>
      <c r="N506" s="3" t="s">
        <v>56</v>
      </c>
      <c r="O506" s="5"/>
      <c r="P506" s="3" t="s">
        <v>74</v>
      </c>
      <c r="Q506" s="7"/>
      <c r="R506" s="7"/>
    </row>
    <row r="507" spans="1:18" ht="38.25" x14ac:dyDescent="0.25">
      <c r="A507" s="3" t="s">
        <v>18</v>
      </c>
      <c r="B507" s="3">
        <v>2013</v>
      </c>
      <c r="C507" s="3" t="s">
        <v>19</v>
      </c>
      <c r="D507" s="3" t="str">
        <f>"538 / 2013"</f>
        <v>538 / 2013</v>
      </c>
      <c r="E507" s="4">
        <v>41529</v>
      </c>
      <c r="F507" s="3" t="s">
        <v>1168</v>
      </c>
      <c r="G507" s="5"/>
      <c r="H507" s="3" t="s">
        <v>1169</v>
      </c>
      <c r="I507" s="3" t="str">
        <f>"18 / 28-08-2013"</f>
        <v>18 / 28-08-2013</v>
      </c>
      <c r="J507" s="4">
        <v>41514</v>
      </c>
      <c r="K507" s="6">
        <v>0.79166666666666663</v>
      </c>
      <c r="L507" s="3">
        <v>2</v>
      </c>
      <c r="M507" s="3" t="s">
        <v>139</v>
      </c>
      <c r="N507" s="3" t="s">
        <v>139</v>
      </c>
      <c r="O507" s="5"/>
      <c r="P507" s="3" t="s">
        <v>22</v>
      </c>
      <c r="Q507" s="7"/>
      <c r="R507" s="7"/>
    </row>
    <row r="508" spans="1:18" ht="204" x14ac:dyDescent="0.25">
      <c r="A508" s="3" t="s">
        <v>18</v>
      </c>
      <c r="B508" s="3">
        <v>2013</v>
      </c>
      <c r="C508" s="3" t="s">
        <v>19</v>
      </c>
      <c r="D508" s="3" t="str">
        <f>"539 / 2013"</f>
        <v>539 / 2013</v>
      </c>
      <c r="E508" s="4">
        <v>41527</v>
      </c>
      <c r="F508" s="3" t="s">
        <v>1170</v>
      </c>
      <c r="G508" s="5"/>
      <c r="H508" s="3" t="s">
        <v>1171</v>
      </c>
      <c r="I508" s="3" t="str">
        <f>"18 / 28-08-2013"</f>
        <v>18 / 28-08-2013</v>
      </c>
      <c r="J508" s="4">
        <v>41514</v>
      </c>
      <c r="K508" s="6">
        <v>0.79166666666666663</v>
      </c>
      <c r="L508" s="3">
        <v>3</v>
      </c>
      <c r="M508" s="3" t="s">
        <v>1172</v>
      </c>
      <c r="N508" s="3" t="s">
        <v>1172</v>
      </c>
      <c r="O508" s="5"/>
      <c r="P508" s="3" t="s">
        <v>22</v>
      </c>
      <c r="Q508" s="7"/>
      <c r="R508" s="7"/>
    </row>
    <row r="509" spans="1:18" ht="76.5" x14ac:dyDescent="0.25">
      <c r="A509" s="3" t="s">
        <v>18</v>
      </c>
      <c r="B509" s="3">
        <v>2013</v>
      </c>
      <c r="C509" s="3" t="s">
        <v>19</v>
      </c>
      <c r="D509" s="3" t="str">
        <f>"54/2013"</f>
        <v>54/2013</v>
      </c>
      <c r="E509" s="4">
        <v>41325</v>
      </c>
      <c r="F509" s="3" t="s">
        <v>1173</v>
      </c>
      <c r="G509" s="5"/>
      <c r="H509" s="3" t="s">
        <v>1174</v>
      </c>
      <c r="I509" s="3" t="str">
        <f>"5/20-02-2013"</f>
        <v>5/20-02-2013</v>
      </c>
      <c r="J509" s="4">
        <v>41325</v>
      </c>
      <c r="K509" s="6">
        <v>0.79166666666666663</v>
      </c>
      <c r="L509" s="3">
        <v>5</v>
      </c>
      <c r="M509" s="3" t="s">
        <v>1175</v>
      </c>
      <c r="N509" s="3" t="s">
        <v>1175</v>
      </c>
      <c r="O509" s="5"/>
      <c r="P509" s="3" t="s">
        <v>22</v>
      </c>
      <c r="Q509" s="7"/>
      <c r="R509" s="7"/>
    </row>
    <row r="510" spans="1:18" ht="127.5" x14ac:dyDescent="0.25">
      <c r="A510" s="3" t="s">
        <v>18</v>
      </c>
      <c r="B510" s="3">
        <v>2013</v>
      </c>
      <c r="C510" s="3" t="s">
        <v>19</v>
      </c>
      <c r="D510" s="3" t="str">
        <f>"540 / 2013"</f>
        <v>540 / 2013</v>
      </c>
      <c r="E510" s="4">
        <v>41521</v>
      </c>
      <c r="F510" s="3" t="s">
        <v>1176</v>
      </c>
      <c r="G510" s="5"/>
      <c r="H510" s="3" t="s">
        <v>1177</v>
      </c>
      <c r="I510" s="3" t="str">
        <f t="shared" ref="I510:I519" si="34">"18 / 28-08-2013"</f>
        <v>18 / 28-08-2013</v>
      </c>
      <c r="J510" s="4">
        <v>41514</v>
      </c>
      <c r="K510" s="6">
        <v>0.79166666666666663</v>
      </c>
      <c r="L510" s="3">
        <v>4</v>
      </c>
      <c r="M510" s="3" t="s">
        <v>913</v>
      </c>
      <c r="N510" s="3" t="s">
        <v>1178</v>
      </c>
      <c r="O510" s="5"/>
      <c r="P510" s="3" t="s">
        <v>22</v>
      </c>
      <c r="Q510" s="7"/>
      <c r="R510" s="7"/>
    </row>
    <row r="511" spans="1:18" ht="76.5" x14ac:dyDescent="0.25">
      <c r="A511" s="3" t="s">
        <v>18</v>
      </c>
      <c r="B511" s="3">
        <v>2013</v>
      </c>
      <c r="C511" s="3" t="s">
        <v>19</v>
      </c>
      <c r="D511" s="3" t="str">
        <f>"541 / 2013"</f>
        <v>541 / 2013</v>
      </c>
      <c r="E511" s="4">
        <v>41521</v>
      </c>
      <c r="F511" s="3" t="s">
        <v>1179</v>
      </c>
      <c r="G511" s="5"/>
      <c r="H511" s="3" t="s">
        <v>1180</v>
      </c>
      <c r="I511" s="3" t="str">
        <f t="shared" si="34"/>
        <v>18 / 28-08-2013</v>
      </c>
      <c r="J511" s="4">
        <v>41514</v>
      </c>
      <c r="K511" s="6">
        <v>0.79166666666666663</v>
      </c>
      <c r="L511" s="3">
        <v>4</v>
      </c>
      <c r="M511" s="3" t="s">
        <v>913</v>
      </c>
      <c r="N511" s="3" t="s">
        <v>1178</v>
      </c>
      <c r="O511" s="5"/>
      <c r="P511" s="3" t="s">
        <v>22</v>
      </c>
      <c r="Q511" s="7"/>
      <c r="R511" s="7"/>
    </row>
    <row r="512" spans="1:18" ht="89.25" x14ac:dyDescent="0.25">
      <c r="A512" s="3" t="s">
        <v>18</v>
      </c>
      <c r="B512" s="3">
        <v>2013</v>
      </c>
      <c r="C512" s="3" t="s">
        <v>19</v>
      </c>
      <c r="D512" s="3" t="str">
        <f>"542 / 2013"</f>
        <v>542 / 2013</v>
      </c>
      <c r="E512" s="4">
        <v>41521</v>
      </c>
      <c r="F512" s="3" t="s">
        <v>1181</v>
      </c>
      <c r="G512" s="5"/>
      <c r="H512" s="3" t="s">
        <v>1182</v>
      </c>
      <c r="I512" s="3" t="str">
        <f t="shared" si="34"/>
        <v>18 / 28-08-2013</v>
      </c>
      <c r="J512" s="4">
        <v>41514</v>
      </c>
      <c r="K512" s="6">
        <v>0.79166666666666663</v>
      </c>
      <c r="L512" s="3">
        <v>4</v>
      </c>
      <c r="M512" s="3" t="s">
        <v>913</v>
      </c>
      <c r="N512" s="3" t="s">
        <v>1178</v>
      </c>
      <c r="O512" s="5"/>
      <c r="P512" s="3" t="s">
        <v>22</v>
      </c>
      <c r="Q512" s="7"/>
      <c r="R512" s="7"/>
    </row>
    <row r="513" spans="1:18" ht="89.25" x14ac:dyDescent="0.25">
      <c r="A513" s="3" t="s">
        <v>18</v>
      </c>
      <c r="B513" s="3">
        <v>2013</v>
      </c>
      <c r="C513" s="3" t="s">
        <v>19</v>
      </c>
      <c r="D513" s="3" t="str">
        <f>"543 / 2013"</f>
        <v>543 / 2013</v>
      </c>
      <c r="E513" s="4">
        <v>41516</v>
      </c>
      <c r="F513" s="3" t="s">
        <v>1183</v>
      </c>
      <c r="G513" s="5"/>
      <c r="H513" s="3" t="s">
        <v>1184</v>
      </c>
      <c r="I513" s="3" t="str">
        <f t="shared" si="34"/>
        <v>18 / 28-08-2013</v>
      </c>
      <c r="J513" s="4">
        <v>41514</v>
      </c>
      <c r="K513" s="6">
        <v>0.79166666666666663</v>
      </c>
      <c r="L513" s="3">
        <v>5</v>
      </c>
      <c r="M513" s="3" t="s">
        <v>330</v>
      </c>
      <c r="N513" s="3" t="s">
        <v>330</v>
      </c>
      <c r="O513" s="5"/>
      <c r="P513" s="3" t="s">
        <v>22</v>
      </c>
      <c r="Q513" s="7"/>
      <c r="R513" s="7"/>
    </row>
    <row r="514" spans="1:18" ht="38.25" x14ac:dyDescent="0.25">
      <c r="A514" s="3" t="s">
        <v>18</v>
      </c>
      <c r="B514" s="3">
        <v>2013</v>
      </c>
      <c r="C514" s="3" t="s">
        <v>19</v>
      </c>
      <c r="D514" s="3" t="str">
        <f>"544 / 2013"</f>
        <v>544 / 2013</v>
      </c>
      <c r="E514" s="4">
        <v>41528</v>
      </c>
      <c r="F514" s="3" t="s">
        <v>1185</v>
      </c>
      <c r="G514" s="5"/>
      <c r="H514" s="3" t="s">
        <v>1186</v>
      </c>
      <c r="I514" s="3" t="str">
        <f t="shared" si="34"/>
        <v>18 / 28-08-2013</v>
      </c>
      <c r="J514" s="4">
        <v>41514</v>
      </c>
      <c r="K514" s="6">
        <v>0.79166666666666663</v>
      </c>
      <c r="L514" s="3">
        <v>6</v>
      </c>
      <c r="M514" s="3" t="s">
        <v>126</v>
      </c>
      <c r="N514" s="3" t="s">
        <v>126</v>
      </c>
      <c r="O514" s="5"/>
      <c r="P514" s="3" t="s">
        <v>22</v>
      </c>
      <c r="Q514" s="7"/>
      <c r="R514" s="7"/>
    </row>
    <row r="515" spans="1:18" ht="114.75" x14ac:dyDescent="0.25">
      <c r="A515" s="3" t="s">
        <v>18</v>
      </c>
      <c r="B515" s="3">
        <v>2013</v>
      </c>
      <c r="C515" s="3" t="s">
        <v>19</v>
      </c>
      <c r="D515" s="3" t="str">
        <f>"545 / 2013"</f>
        <v>545 / 2013</v>
      </c>
      <c r="E515" s="4">
        <v>41540</v>
      </c>
      <c r="F515" s="3" t="s">
        <v>1187</v>
      </c>
      <c r="G515" s="5"/>
      <c r="H515" s="3" t="s">
        <v>1188</v>
      </c>
      <c r="I515" s="3" t="str">
        <f t="shared" si="34"/>
        <v>18 / 28-08-2013</v>
      </c>
      <c r="J515" s="4">
        <v>41514</v>
      </c>
      <c r="K515" s="6">
        <v>0.79166666666666663</v>
      </c>
      <c r="L515" s="3">
        <v>7</v>
      </c>
      <c r="M515" s="3" t="s">
        <v>1189</v>
      </c>
      <c r="N515" s="3" t="s">
        <v>1189</v>
      </c>
      <c r="O515" s="5"/>
      <c r="P515" s="3" t="s">
        <v>22</v>
      </c>
      <c r="Q515" s="7"/>
      <c r="R515" s="7"/>
    </row>
    <row r="516" spans="1:18" ht="76.5" x14ac:dyDescent="0.25">
      <c r="A516" s="3" t="s">
        <v>18</v>
      </c>
      <c r="B516" s="3">
        <v>2013</v>
      </c>
      <c r="C516" s="3" t="s">
        <v>19</v>
      </c>
      <c r="D516" s="3" t="str">
        <f>"546 / 2013"</f>
        <v>546 / 2013</v>
      </c>
      <c r="E516" s="4">
        <v>41521</v>
      </c>
      <c r="F516" s="3" t="s">
        <v>1190</v>
      </c>
      <c r="G516" s="5"/>
      <c r="H516" s="3" t="s">
        <v>1191</v>
      </c>
      <c r="I516" s="3" t="str">
        <f t="shared" si="34"/>
        <v>18 / 28-08-2013</v>
      </c>
      <c r="J516" s="4">
        <v>41514</v>
      </c>
      <c r="K516" s="6">
        <v>0.79166666666666663</v>
      </c>
      <c r="L516" s="3">
        <v>8</v>
      </c>
      <c r="M516" s="3" t="s">
        <v>754</v>
      </c>
      <c r="N516" s="3" t="s">
        <v>754</v>
      </c>
      <c r="O516" s="5"/>
      <c r="P516" s="3" t="s">
        <v>22</v>
      </c>
      <c r="Q516" s="7"/>
      <c r="R516" s="7"/>
    </row>
    <row r="517" spans="1:18" ht="76.5" x14ac:dyDescent="0.25">
      <c r="A517" s="3" t="s">
        <v>18</v>
      </c>
      <c r="B517" s="3">
        <v>2013</v>
      </c>
      <c r="C517" s="3" t="s">
        <v>19</v>
      </c>
      <c r="D517" s="3" t="str">
        <f>"547 / 2013"</f>
        <v>547 / 2013</v>
      </c>
      <c r="E517" s="4">
        <v>41522</v>
      </c>
      <c r="F517" s="3" t="s">
        <v>1192</v>
      </c>
      <c r="G517" s="5"/>
      <c r="H517" s="3" t="s">
        <v>1193</v>
      </c>
      <c r="I517" s="3" t="str">
        <f t="shared" si="34"/>
        <v>18 / 28-08-2013</v>
      </c>
      <c r="J517" s="4">
        <v>41514</v>
      </c>
      <c r="K517" s="6">
        <v>0.79166666666666663</v>
      </c>
      <c r="L517" s="3">
        <v>9</v>
      </c>
      <c r="M517" s="3" t="s">
        <v>324</v>
      </c>
      <c r="N517" s="3" t="s">
        <v>324</v>
      </c>
      <c r="O517" s="5"/>
      <c r="P517" s="3" t="s">
        <v>22</v>
      </c>
      <c r="Q517" s="7"/>
      <c r="R517" s="7"/>
    </row>
    <row r="518" spans="1:18" ht="127.5" x14ac:dyDescent="0.25">
      <c r="A518" s="3" t="s">
        <v>18</v>
      </c>
      <c r="B518" s="3">
        <v>2013</v>
      </c>
      <c r="C518" s="3" t="s">
        <v>19</v>
      </c>
      <c r="D518" s="3" t="str">
        <f>"548 / 2013"</f>
        <v>548 / 2013</v>
      </c>
      <c r="E518" s="4">
        <v>41522</v>
      </c>
      <c r="F518" s="3" t="s">
        <v>1194</v>
      </c>
      <c r="G518" s="5"/>
      <c r="H518" s="3" t="s">
        <v>1195</v>
      </c>
      <c r="I518" s="3" t="str">
        <f t="shared" si="34"/>
        <v>18 / 28-08-2013</v>
      </c>
      <c r="J518" s="4">
        <v>41514</v>
      </c>
      <c r="K518" s="6">
        <v>0.79166666666666663</v>
      </c>
      <c r="L518" s="3">
        <v>10</v>
      </c>
      <c r="M518" s="3" t="s">
        <v>324</v>
      </c>
      <c r="N518" s="3" t="s">
        <v>324</v>
      </c>
      <c r="O518" s="5"/>
      <c r="P518" s="3" t="s">
        <v>22</v>
      </c>
      <c r="Q518" s="7"/>
      <c r="R518" s="7"/>
    </row>
    <row r="519" spans="1:18" ht="114.75" x14ac:dyDescent="0.25">
      <c r="A519" s="3" t="s">
        <v>18</v>
      </c>
      <c r="B519" s="3">
        <v>2013</v>
      </c>
      <c r="C519" s="3" t="s">
        <v>19</v>
      </c>
      <c r="D519" s="3" t="str">
        <f>"549 / 2013"</f>
        <v>549 / 2013</v>
      </c>
      <c r="E519" s="4">
        <v>41519</v>
      </c>
      <c r="F519" s="3" t="s">
        <v>1196</v>
      </c>
      <c r="G519" s="5"/>
      <c r="H519" s="3" t="s">
        <v>1197</v>
      </c>
      <c r="I519" s="3" t="str">
        <f t="shared" si="34"/>
        <v>18 / 28-08-2013</v>
      </c>
      <c r="J519" s="4">
        <v>41514</v>
      </c>
      <c r="K519" s="6">
        <v>0.79166666666666663</v>
      </c>
      <c r="L519" s="3">
        <v>11</v>
      </c>
      <c r="M519" s="3" t="s">
        <v>324</v>
      </c>
      <c r="N519" s="3" t="s">
        <v>324</v>
      </c>
      <c r="O519" s="5"/>
      <c r="P519" s="3" t="s">
        <v>22</v>
      </c>
      <c r="Q519" s="7"/>
      <c r="R519" s="7"/>
    </row>
    <row r="520" spans="1:18" ht="51" x14ac:dyDescent="0.25">
      <c r="A520" s="3" t="s">
        <v>18</v>
      </c>
      <c r="B520" s="3">
        <v>2013</v>
      </c>
      <c r="C520" s="3" t="s">
        <v>19</v>
      </c>
      <c r="D520" s="3" t="str">
        <f>"55/2013"</f>
        <v>55/2013</v>
      </c>
      <c r="E520" s="4">
        <v>41325</v>
      </c>
      <c r="F520" s="3" t="s">
        <v>1198</v>
      </c>
      <c r="G520" s="5"/>
      <c r="H520" s="3" t="s">
        <v>1199</v>
      </c>
      <c r="I520" s="3" t="str">
        <f>"5/20-02-2013"</f>
        <v>5/20-02-2013</v>
      </c>
      <c r="J520" s="4">
        <v>41325</v>
      </c>
      <c r="K520" s="6">
        <v>0.79166666666666663</v>
      </c>
      <c r="L520" s="3">
        <v>6</v>
      </c>
      <c r="M520" s="3" t="s">
        <v>1175</v>
      </c>
      <c r="N520" s="3" t="s">
        <v>1175</v>
      </c>
      <c r="O520" s="5"/>
      <c r="P520" s="3" t="s">
        <v>22</v>
      </c>
      <c r="Q520" s="7"/>
      <c r="R520" s="7"/>
    </row>
    <row r="521" spans="1:18" ht="63.75" x14ac:dyDescent="0.25">
      <c r="A521" s="3" t="s">
        <v>18</v>
      </c>
      <c r="B521" s="3">
        <v>2013</v>
      </c>
      <c r="C521" s="3" t="s">
        <v>19</v>
      </c>
      <c r="D521" s="3" t="str">
        <f>"550 / 2013"</f>
        <v>550 / 2013</v>
      </c>
      <c r="E521" s="4">
        <v>41534</v>
      </c>
      <c r="F521" s="3" t="s">
        <v>1200</v>
      </c>
      <c r="G521" s="5"/>
      <c r="H521" s="3" t="s">
        <v>1201</v>
      </c>
      <c r="I521" s="3" t="str">
        <f t="shared" ref="I521:I530" si="35">"18 / 28-08-2013"</f>
        <v>18 / 28-08-2013</v>
      </c>
      <c r="J521" s="4">
        <v>41514</v>
      </c>
      <c r="K521" s="6">
        <v>0.79166666666666663</v>
      </c>
      <c r="L521" s="3">
        <v>12</v>
      </c>
      <c r="M521" s="3" t="s">
        <v>1202</v>
      </c>
      <c r="N521" s="3" t="s">
        <v>1202</v>
      </c>
      <c r="O521" s="5"/>
      <c r="P521" s="3" t="s">
        <v>22</v>
      </c>
      <c r="Q521" s="7"/>
      <c r="R521" s="7"/>
    </row>
    <row r="522" spans="1:18" ht="76.5" x14ac:dyDescent="0.25">
      <c r="A522" s="3" t="s">
        <v>18</v>
      </c>
      <c r="B522" s="3">
        <v>2013</v>
      </c>
      <c r="C522" s="3" t="s">
        <v>19</v>
      </c>
      <c r="D522" s="3" t="str">
        <f>"551 / 2013"</f>
        <v>551 / 2013</v>
      </c>
      <c r="E522" s="4">
        <v>41540</v>
      </c>
      <c r="F522" s="3" t="s">
        <v>1203</v>
      </c>
      <c r="G522" s="5"/>
      <c r="H522" s="3" t="s">
        <v>1204</v>
      </c>
      <c r="I522" s="3" t="str">
        <f t="shared" si="35"/>
        <v>18 / 28-08-2013</v>
      </c>
      <c r="J522" s="4">
        <v>41514</v>
      </c>
      <c r="K522" s="6">
        <v>0.79166666666666663</v>
      </c>
      <c r="L522" s="3">
        <v>13</v>
      </c>
      <c r="M522" s="3" t="s">
        <v>1135</v>
      </c>
      <c r="N522" s="3" t="s">
        <v>1135</v>
      </c>
      <c r="O522" s="5"/>
      <c r="P522" s="3" t="s">
        <v>22</v>
      </c>
      <c r="Q522" s="7"/>
      <c r="R522" s="7"/>
    </row>
    <row r="523" spans="1:18" ht="63.75" x14ac:dyDescent="0.25">
      <c r="A523" s="3" t="s">
        <v>18</v>
      </c>
      <c r="B523" s="3">
        <v>2013</v>
      </c>
      <c r="C523" s="3" t="s">
        <v>19</v>
      </c>
      <c r="D523" s="3" t="str">
        <f>"552 / 2013"</f>
        <v>552 / 2013</v>
      </c>
      <c r="E523" s="4">
        <v>41520</v>
      </c>
      <c r="F523" s="3" t="s">
        <v>1205</v>
      </c>
      <c r="G523" s="5"/>
      <c r="H523" s="3" t="s">
        <v>1206</v>
      </c>
      <c r="I523" s="3" t="str">
        <f t="shared" si="35"/>
        <v>18 / 28-08-2013</v>
      </c>
      <c r="J523" s="4">
        <v>41514</v>
      </c>
      <c r="K523" s="6">
        <v>0.79166666666666663</v>
      </c>
      <c r="L523" s="3">
        <v>14</v>
      </c>
      <c r="M523" s="3" t="s">
        <v>1207</v>
      </c>
      <c r="N523" s="3" t="s">
        <v>1207</v>
      </c>
      <c r="O523" s="5"/>
      <c r="P523" s="3" t="s">
        <v>22</v>
      </c>
      <c r="Q523" s="7"/>
      <c r="R523" s="7"/>
    </row>
    <row r="524" spans="1:18" ht="76.5" x14ac:dyDescent="0.25">
      <c r="A524" s="3" t="s">
        <v>18</v>
      </c>
      <c r="B524" s="3">
        <v>2013</v>
      </c>
      <c r="C524" s="3" t="s">
        <v>19</v>
      </c>
      <c r="D524" s="3" t="str">
        <f>"553 / 2013"</f>
        <v>553 / 2013</v>
      </c>
      <c r="E524" s="4">
        <v>41534</v>
      </c>
      <c r="F524" s="3" t="s">
        <v>1208</v>
      </c>
      <c r="G524" s="5"/>
      <c r="H524" s="3" t="s">
        <v>1209</v>
      </c>
      <c r="I524" s="3" t="str">
        <f t="shared" si="35"/>
        <v>18 / 28-08-2013</v>
      </c>
      <c r="J524" s="4">
        <v>41514</v>
      </c>
      <c r="K524" s="6">
        <v>0.79166666666666663</v>
      </c>
      <c r="L524" s="3">
        <v>15</v>
      </c>
      <c r="M524" s="3" t="s">
        <v>1210</v>
      </c>
      <c r="N524" s="3" t="s">
        <v>1210</v>
      </c>
      <c r="O524" s="5"/>
      <c r="P524" s="3" t="s">
        <v>22</v>
      </c>
      <c r="Q524" s="7"/>
      <c r="R524" s="7"/>
    </row>
    <row r="525" spans="1:18" ht="114.75" x14ac:dyDescent="0.25">
      <c r="A525" s="3" t="s">
        <v>18</v>
      </c>
      <c r="B525" s="3">
        <v>2013</v>
      </c>
      <c r="C525" s="3" t="s">
        <v>19</v>
      </c>
      <c r="D525" s="3" t="str">
        <f>"554 / 2013"</f>
        <v>554 / 2013</v>
      </c>
      <c r="E525" s="4">
        <v>41526</v>
      </c>
      <c r="F525" s="3" t="s">
        <v>1211</v>
      </c>
      <c r="G525" s="5"/>
      <c r="H525" s="3" t="s">
        <v>1212</v>
      </c>
      <c r="I525" s="3" t="str">
        <f t="shared" si="35"/>
        <v>18 / 28-08-2013</v>
      </c>
      <c r="J525" s="4">
        <v>41514</v>
      </c>
      <c r="K525" s="6">
        <v>0.79166666666666663</v>
      </c>
      <c r="L525" s="3">
        <v>16</v>
      </c>
      <c r="M525" s="3" t="s">
        <v>56</v>
      </c>
      <c r="N525" s="3" t="s">
        <v>56</v>
      </c>
      <c r="O525" s="5"/>
      <c r="P525" s="3" t="s">
        <v>22</v>
      </c>
      <c r="Q525" s="7"/>
      <c r="R525" s="7"/>
    </row>
    <row r="526" spans="1:18" ht="63.75" x14ac:dyDescent="0.25">
      <c r="A526" s="3" t="s">
        <v>18</v>
      </c>
      <c r="B526" s="3">
        <v>2013</v>
      </c>
      <c r="C526" s="3" t="s">
        <v>19</v>
      </c>
      <c r="D526" s="3" t="str">
        <f>"555 / 2013"</f>
        <v>555 / 2013</v>
      </c>
      <c r="E526" s="4">
        <v>41521</v>
      </c>
      <c r="F526" s="3" t="s">
        <v>1213</v>
      </c>
      <c r="G526" s="5"/>
      <c r="H526" s="3" t="s">
        <v>1214</v>
      </c>
      <c r="I526" s="3" t="str">
        <f t="shared" si="35"/>
        <v>18 / 28-08-2013</v>
      </c>
      <c r="J526" s="4">
        <v>41514</v>
      </c>
      <c r="K526" s="6">
        <v>0.79166666666666663</v>
      </c>
      <c r="L526" s="3">
        <v>17</v>
      </c>
      <c r="M526" s="3" t="s">
        <v>50</v>
      </c>
      <c r="N526" s="3" t="s">
        <v>50</v>
      </c>
      <c r="O526" s="5"/>
      <c r="P526" s="3" t="s">
        <v>22</v>
      </c>
      <c r="Q526" s="7"/>
      <c r="R526" s="7"/>
    </row>
    <row r="527" spans="1:18" ht="63.75" x14ac:dyDescent="0.25">
      <c r="A527" s="3" t="s">
        <v>18</v>
      </c>
      <c r="B527" s="3">
        <v>2013</v>
      </c>
      <c r="C527" s="3" t="s">
        <v>19</v>
      </c>
      <c r="D527" s="3" t="str">
        <f>"556 / 2013"</f>
        <v>556 / 2013</v>
      </c>
      <c r="E527" s="4">
        <v>41519</v>
      </c>
      <c r="F527" s="3" t="s">
        <v>1215</v>
      </c>
      <c r="G527" s="5"/>
      <c r="H527" s="3" t="s">
        <v>1216</v>
      </c>
      <c r="I527" s="3" t="str">
        <f t="shared" si="35"/>
        <v>18 / 28-08-2013</v>
      </c>
      <c r="J527" s="4">
        <v>41514</v>
      </c>
      <c r="K527" s="6">
        <v>0.79166666666666663</v>
      </c>
      <c r="L527" s="3">
        <v>17</v>
      </c>
      <c r="M527" s="5"/>
      <c r="N527" s="5"/>
      <c r="O527" s="5"/>
      <c r="P527" s="3" t="s">
        <v>22</v>
      </c>
      <c r="Q527" s="7"/>
      <c r="R527" s="7"/>
    </row>
    <row r="528" spans="1:18" ht="63.75" x14ac:dyDescent="0.25">
      <c r="A528" s="3" t="s">
        <v>18</v>
      </c>
      <c r="B528" s="3">
        <v>2013</v>
      </c>
      <c r="C528" s="3" t="s">
        <v>19</v>
      </c>
      <c r="D528" s="3" t="str">
        <f>"557 / 2013"</f>
        <v>557 / 2013</v>
      </c>
      <c r="E528" s="4">
        <v>41516</v>
      </c>
      <c r="F528" s="3" t="s">
        <v>1217</v>
      </c>
      <c r="G528" s="5"/>
      <c r="H528" s="3" t="s">
        <v>1218</v>
      </c>
      <c r="I528" s="3" t="str">
        <f t="shared" si="35"/>
        <v>18 / 28-08-2013</v>
      </c>
      <c r="J528" s="4">
        <v>41514</v>
      </c>
      <c r="K528" s="6">
        <v>0.79166666666666663</v>
      </c>
      <c r="L528" s="3">
        <v>18</v>
      </c>
      <c r="M528" s="3" t="s">
        <v>333</v>
      </c>
      <c r="N528" s="3" t="s">
        <v>333</v>
      </c>
      <c r="O528" s="5"/>
      <c r="P528" s="3" t="s">
        <v>22</v>
      </c>
      <c r="Q528" s="7"/>
      <c r="R528" s="7"/>
    </row>
    <row r="529" spans="1:18" ht="51" x14ac:dyDescent="0.25">
      <c r="A529" s="3" t="s">
        <v>18</v>
      </c>
      <c r="B529" s="3">
        <v>2013</v>
      </c>
      <c r="C529" s="3" t="s">
        <v>19</v>
      </c>
      <c r="D529" s="3" t="str">
        <f>"558 / 2013"</f>
        <v>558 / 2013</v>
      </c>
      <c r="E529" s="4">
        <v>41516</v>
      </c>
      <c r="F529" s="3" t="s">
        <v>1219</v>
      </c>
      <c r="G529" s="5"/>
      <c r="H529" s="3" t="s">
        <v>1220</v>
      </c>
      <c r="I529" s="3" t="str">
        <f t="shared" si="35"/>
        <v>18 / 28-08-2013</v>
      </c>
      <c r="J529" s="4">
        <v>41514</v>
      </c>
      <c r="K529" s="6">
        <v>0.79166666666666663</v>
      </c>
      <c r="L529" s="3">
        <v>19</v>
      </c>
      <c r="M529" s="3" t="s">
        <v>1221</v>
      </c>
      <c r="N529" s="3" t="s">
        <v>1221</v>
      </c>
      <c r="O529" s="5"/>
      <c r="P529" s="3" t="s">
        <v>22</v>
      </c>
      <c r="Q529" s="7"/>
      <c r="R529" s="7"/>
    </row>
    <row r="530" spans="1:18" ht="63.75" x14ac:dyDescent="0.25">
      <c r="A530" s="3" t="s">
        <v>18</v>
      </c>
      <c r="B530" s="3">
        <v>2013</v>
      </c>
      <c r="C530" s="3" t="s">
        <v>19</v>
      </c>
      <c r="D530" s="3" t="str">
        <f>"559 / 2013"</f>
        <v>559 / 2013</v>
      </c>
      <c r="E530" s="4">
        <v>41519</v>
      </c>
      <c r="F530" s="3" t="s">
        <v>1222</v>
      </c>
      <c r="G530" s="5"/>
      <c r="H530" s="3" t="s">
        <v>1223</v>
      </c>
      <c r="I530" s="3" t="str">
        <f t="shared" si="35"/>
        <v>18 / 28-08-2013</v>
      </c>
      <c r="J530" s="4">
        <v>41514</v>
      </c>
      <c r="K530" s="6">
        <v>0.79166666666666663</v>
      </c>
      <c r="L530" s="3">
        <v>20</v>
      </c>
      <c r="M530" s="3" t="s">
        <v>50</v>
      </c>
      <c r="N530" s="3" t="s">
        <v>50</v>
      </c>
      <c r="O530" s="5"/>
      <c r="P530" s="3" t="s">
        <v>22</v>
      </c>
      <c r="Q530" s="7"/>
      <c r="R530" s="7"/>
    </row>
    <row r="531" spans="1:18" ht="38.25" x14ac:dyDescent="0.25">
      <c r="A531" s="3" t="s">
        <v>18</v>
      </c>
      <c r="B531" s="3">
        <v>2013</v>
      </c>
      <c r="C531" s="3" t="s">
        <v>19</v>
      </c>
      <c r="D531" s="3" t="str">
        <f>"56/2013"</f>
        <v>56/2013</v>
      </c>
      <c r="E531" s="4">
        <v>41325</v>
      </c>
      <c r="F531" s="3" t="s">
        <v>1224</v>
      </c>
      <c r="G531" s="5"/>
      <c r="H531" s="3" t="s">
        <v>1225</v>
      </c>
      <c r="I531" s="3" t="str">
        <f>"5/20-02-2013"</f>
        <v>5/20-02-2013</v>
      </c>
      <c r="J531" s="4">
        <v>41325</v>
      </c>
      <c r="K531" s="6">
        <v>0.79166666666666663</v>
      </c>
      <c r="L531" s="3">
        <v>7</v>
      </c>
      <c r="M531" s="3" t="s">
        <v>1175</v>
      </c>
      <c r="N531" s="3" t="s">
        <v>1175</v>
      </c>
      <c r="O531" s="5"/>
      <c r="P531" s="3" t="s">
        <v>22</v>
      </c>
      <c r="Q531" s="7"/>
      <c r="R531" s="7"/>
    </row>
    <row r="532" spans="1:18" ht="102" x14ac:dyDescent="0.25">
      <c r="A532" s="3" t="s">
        <v>18</v>
      </c>
      <c r="B532" s="3">
        <v>2013</v>
      </c>
      <c r="C532" s="3" t="s">
        <v>19</v>
      </c>
      <c r="D532" s="3" t="str">
        <f>"560 / 2013"</f>
        <v>560 / 2013</v>
      </c>
      <c r="E532" s="4">
        <v>41489</v>
      </c>
      <c r="F532" s="3" t="s">
        <v>1226</v>
      </c>
      <c r="G532" s="5"/>
      <c r="H532" s="3" t="s">
        <v>1227</v>
      </c>
      <c r="I532" s="3" t="str">
        <f t="shared" ref="I532:I540" si="36">"18 / 28-08-2013"</f>
        <v>18 / 28-08-2013</v>
      </c>
      <c r="J532" s="4">
        <v>41514</v>
      </c>
      <c r="K532" s="6">
        <v>0.79166666666666663</v>
      </c>
      <c r="L532" s="3">
        <v>21</v>
      </c>
      <c r="M532" s="3" t="s">
        <v>56</v>
      </c>
      <c r="N532" s="3" t="s">
        <v>56</v>
      </c>
      <c r="O532" s="5"/>
      <c r="P532" s="3" t="s">
        <v>22</v>
      </c>
      <c r="Q532" s="7"/>
      <c r="R532" s="7"/>
    </row>
    <row r="533" spans="1:18" ht="140.25" x14ac:dyDescent="0.25">
      <c r="A533" s="3" t="s">
        <v>18</v>
      </c>
      <c r="B533" s="3">
        <v>2013</v>
      </c>
      <c r="C533" s="3" t="s">
        <v>19</v>
      </c>
      <c r="D533" s="3" t="str">
        <f>"561 / 2013"</f>
        <v>561 / 2013</v>
      </c>
      <c r="E533" s="4">
        <v>41534</v>
      </c>
      <c r="F533" s="3" t="s">
        <v>1228</v>
      </c>
      <c r="G533" s="5"/>
      <c r="H533" s="3" t="s">
        <v>1229</v>
      </c>
      <c r="I533" s="3" t="str">
        <f t="shared" si="36"/>
        <v>18 / 28-08-2013</v>
      </c>
      <c r="J533" s="4">
        <v>41514</v>
      </c>
      <c r="K533" s="6">
        <v>0.79166666666666663</v>
      </c>
      <c r="L533" s="3">
        <v>22</v>
      </c>
      <c r="M533" s="3" t="s">
        <v>1230</v>
      </c>
      <c r="N533" s="3" t="s">
        <v>1230</v>
      </c>
      <c r="O533" s="5"/>
      <c r="P533" s="3" t="s">
        <v>22</v>
      </c>
      <c r="Q533" s="7"/>
      <c r="R533" s="7"/>
    </row>
    <row r="534" spans="1:18" ht="51" x14ac:dyDescent="0.25">
      <c r="A534" s="3" t="s">
        <v>18</v>
      </c>
      <c r="B534" s="3">
        <v>2013</v>
      </c>
      <c r="C534" s="3" t="s">
        <v>19</v>
      </c>
      <c r="D534" s="3" t="str">
        <f>"562 / 2013"</f>
        <v>562 / 2013</v>
      </c>
      <c r="E534" s="4">
        <v>41536</v>
      </c>
      <c r="F534" s="3" t="s">
        <v>1231</v>
      </c>
      <c r="G534" s="5"/>
      <c r="H534" s="3" t="s">
        <v>1232</v>
      </c>
      <c r="I534" s="3" t="str">
        <f t="shared" si="36"/>
        <v>18 / 28-08-2013</v>
      </c>
      <c r="J534" s="4">
        <v>41514</v>
      </c>
      <c r="K534" s="6">
        <v>0.79166666666666663</v>
      </c>
      <c r="L534" s="3">
        <v>23</v>
      </c>
      <c r="M534" s="3" t="s">
        <v>784</v>
      </c>
      <c r="N534" s="3" t="s">
        <v>784</v>
      </c>
      <c r="O534" s="5"/>
      <c r="P534" s="3" t="s">
        <v>22</v>
      </c>
      <c r="Q534" s="7"/>
      <c r="R534" s="7"/>
    </row>
    <row r="535" spans="1:18" ht="38.25" x14ac:dyDescent="0.25">
      <c r="A535" s="3" t="s">
        <v>18</v>
      </c>
      <c r="B535" s="3">
        <v>2013</v>
      </c>
      <c r="C535" s="3" t="s">
        <v>19</v>
      </c>
      <c r="D535" s="3" t="str">
        <f>"563 / 2013"</f>
        <v>563 / 2013</v>
      </c>
      <c r="E535" s="4">
        <v>41489</v>
      </c>
      <c r="F535" s="3" t="s">
        <v>1233</v>
      </c>
      <c r="G535" s="5"/>
      <c r="H535" s="3" t="s">
        <v>1234</v>
      </c>
      <c r="I535" s="3" t="str">
        <f t="shared" si="36"/>
        <v>18 / 28-08-2013</v>
      </c>
      <c r="J535" s="4">
        <v>41514</v>
      </c>
      <c r="K535" s="6">
        <v>0.79166666666666663</v>
      </c>
      <c r="L535" s="3">
        <v>24</v>
      </c>
      <c r="M535" s="3" t="s">
        <v>585</v>
      </c>
      <c r="N535" s="3" t="s">
        <v>585</v>
      </c>
      <c r="O535" s="5"/>
      <c r="P535" s="3" t="s">
        <v>22</v>
      </c>
      <c r="Q535" s="7"/>
      <c r="R535" s="7"/>
    </row>
    <row r="536" spans="1:18" ht="89.25" x14ac:dyDescent="0.25">
      <c r="A536" s="3" t="s">
        <v>18</v>
      </c>
      <c r="B536" s="3">
        <v>2013</v>
      </c>
      <c r="C536" s="3" t="s">
        <v>19</v>
      </c>
      <c r="D536" s="3" t="str">
        <f>"564 / 2013"</f>
        <v>564 / 2013</v>
      </c>
      <c r="E536" s="4">
        <v>41540</v>
      </c>
      <c r="F536" s="3" t="s">
        <v>1235</v>
      </c>
      <c r="G536" s="5"/>
      <c r="H536" s="3" t="s">
        <v>1236</v>
      </c>
      <c r="I536" s="3" t="str">
        <f t="shared" si="36"/>
        <v>18 / 28-08-2013</v>
      </c>
      <c r="J536" s="4">
        <v>41514</v>
      </c>
      <c r="K536" s="6">
        <v>0.79166666666666663</v>
      </c>
      <c r="L536" s="3">
        <v>25</v>
      </c>
      <c r="M536" s="3" t="s">
        <v>1237</v>
      </c>
      <c r="N536" s="3" t="s">
        <v>1237</v>
      </c>
      <c r="O536" s="5"/>
      <c r="P536" s="3" t="s">
        <v>22</v>
      </c>
      <c r="Q536" s="7"/>
      <c r="R536" s="7"/>
    </row>
    <row r="537" spans="1:18" ht="114.75" x14ac:dyDescent="0.25">
      <c r="A537" s="3" t="s">
        <v>18</v>
      </c>
      <c r="B537" s="3">
        <v>2013</v>
      </c>
      <c r="C537" s="3" t="s">
        <v>19</v>
      </c>
      <c r="D537" s="3" t="str">
        <f>"566 / 2013"</f>
        <v>566 / 2013</v>
      </c>
      <c r="E537" s="4">
        <v>41526</v>
      </c>
      <c r="F537" s="3" t="s">
        <v>1238</v>
      </c>
      <c r="G537" s="5"/>
      <c r="H537" s="3" t="s">
        <v>1239</v>
      </c>
      <c r="I537" s="3" t="str">
        <f t="shared" si="36"/>
        <v>18 / 28-08-2013</v>
      </c>
      <c r="J537" s="4">
        <v>41514</v>
      </c>
      <c r="K537" s="6">
        <v>0.79166666666666663</v>
      </c>
      <c r="L537" s="3">
        <v>27</v>
      </c>
      <c r="M537" s="3" t="s">
        <v>1240</v>
      </c>
      <c r="N537" s="3" t="s">
        <v>1240</v>
      </c>
      <c r="O537" s="5"/>
      <c r="P537" s="3" t="s">
        <v>22</v>
      </c>
      <c r="Q537" s="7"/>
      <c r="R537" s="7"/>
    </row>
    <row r="538" spans="1:18" ht="76.5" x14ac:dyDescent="0.25">
      <c r="A538" s="3" t="s">
        <v>18</v>
      </c>
      <c r="B538" s="3">
        <v>2013</v>
      </c>
      <c r="C538" s="3" t="s">
        <v>19</v>
      </c>
      <c r="D538" s="3" t="str">
        <f>"567 / 2013"</f>
        <v>567 / 2013</v>
      </c>
      <c r="E538" s="4">
        <v>41529</v>
      </c>
      <c r="F538" s="3" t="s">
        <v>1241</v>
      </c>
      <c r="G538" s="5"/>
      <c r="H538" s="3" t="s">
        <v>1242</v>
      </c>
      <c r="I538" s="3" t="str">
        <f t="shared" si="36"/>
        <v>18 / 28-08-2013</v>
      </c>
      <c r="J538" s="4">
        <v>41514</v>
      </c>
      <c r="K538" s="6">
        <v>0.79166666666666663</v>
      </c>
      <c r="L538" s="3">
        <v>28</v>
      </c>
      <c r="M538" s="3" t="s">
        <v>352</v>
      </c>
      <c r="N538" s="3" t="s">
        <v>352</v>
      </c>
      <c r="O538" s="5"/>
      <c r="P538" s="3" t="s">
        <v>22</v>
      </c>
      <c r="Q538" s="7"/>
      <c r="R538" s="7"/>
    </row>
    <row r="539" spans="1:18" ht="89.25" x14ac:dyDescent="0.25">
      <c r="A539" s="3" t="s">
        <v>18</v>
      </c>
      <c r="B539" s="3">
        <v>2013</v>
      </c>
      <c r="C539" s="3" t="s">
        <v>19</v>
      </c>
      <c r="D539" s="3" t="str">
        <f>"568 / 2013"</f>
        <v>568 / 2013</v>
      </c>
      <c r="E539" s="4">
        <v>41516</v>
      </c>
      <c r="F539" s="3" t="s">
        <v>1243</v>
      </c>
      <c r="G539" s="5"/>
      <c r="H539" s="3" t="s">
        <v>1244</v>
      </c>
      <c r="I539" s="3" t="str">
        <f t="shared" si="36"/>
        <v>18 / 28-08-2013</v>
      </c>
      <c r="J539" s="4">
        <v>41514</v>
      </c>
      <c r="K539" s="6">
        <v>0.79166666666666663</v>
      </c>
      <c r="L539" s="3">
        <v>29</v>
      </c>
      <c r="M539" s="3" t="s">
        <v>534</v>
      </c>
      <c r="N539" s="3" t="s">
        <v>534</v>
      </c>
      <c r="O539" s="5"/>
      <c r="P539" s="3" t="s">
        <v>22</v>
      </c>
      <c r="Q539" s="7"/>
      <c r="R539" s="7"/>
    </row>
    <row r="540" spans="1:18" ht="63.75" x14ac:dyDescent="0.25">
      <c r="A540" s="3" t="s">
        <v>18</v>
      </c>
      <c r="B540" s="3">
        <v>2013</v>
      </c>
      <c r="C540" s="3" t="s">
        <v>19</v>
      </c>
      <c r="D540" s="3" t="str">
        <f>"569 / 2013"</f>
        <v>569 / 2013</v>
      </c>
      <c r="E540" s="4">
        <v>41519</v>
      </c>
      <c r="F540" s="3" t="s">
        <v>1245</v>
      </c>
      <c r="G540" s="5"/>
      <c r="H540" s="3" t="s">
        <v>1246</v>
      </c>
      <c r="I540" s="3" t="str">
        <f t="shared" si="36"/>
        <v>18 / 28-08-2013</v>
      </c>
      <c r="J540" s="4">
        <v>41514</v>
      </c>
      <c r="K540" s="6">
        <v>0.79166666666666663</v>
      </c>
      <c r="L540" s="3">
        <v>29</v>
      </c>
      <c r="M540" s="3" t="s">
        <v>534</v>
      </c>
      <c r="N540" s="3" t="s">
        <v>534</v>
      </c>
      <c r="O540" s="5"/>
      <c r="P540" s="3" t="s">
        <v>22</v>
      </c>
      <c r="Q540" s="7"/>
      <c r="R540" s="7"/>
    </row>
    <row r="541" spans="1:18" ht="51" x14ac:dyDescent="0.25">
      <c r="A541" s="3" t="s">
        <v>18</v>
      </c>
      <c r="B541" s="3">
        <v>2013</v>
      </c>
      <c r="C541" s="3" t="s">
        <v>19</v>
      </c>
      <c r="D541" s="3" t="str">
        <f>"57/2013"</f>
        <v>57/2013</v>
      </c>
      <c r="E541" s="4">
        <v>41325</v>
      </c>
      <c r="F541" s="3" t="s">
        <v>1247</v>
      </c>
      <c r="G541" s="5"/>
      <c r="H541" s="3" t="s">
        <v>1248</v>
      </c>
      <c r="I541" s="3" t="str">
        <f>"5/20-02-2013"</f>
        <v>5/20-02-2013</v>
      </c>
      <c r="J541" s="4">
        <v>41325</v>
      </c>
      <c r="K541" s="6">
        <v>0.79166666666666663</v>
      </c>
      <c r="L541" s="3">
        <v>8</v>
      </c>
      <c r="M541" s="3" t="s">
        <v>1175</v>
      </c>
      <c r="N541" s="3" t="s">
        <v>1175</v>
      </c>
      <c r="O541" s="5"/>
      <c r="P541" s="3" t="s">
        <v>22</v>
      </c>
      <c r="Q541" s="7"/>
      <c r="R541" s="7"/>
    </row>
    <row r="542" spans="1:18" ht="38.25" x14ac:dyDescent="0.25">
      <c r="A542" s="3" t="s">
        <v>18</v>
      </c>
      <c r="B542" s="3">
        <v>2013</v>
      </c>
      <c r="C542" s="3" t="s">
        <v>19</v>
      </c>
      <c r="D542" s="3" t="str">
        <f>"570 / 2013"</f>
        <v>570 / 2013</v>
      </c>
      <c r="E542" s="4">
        <v>41519</v>
      </c>
      <c r="F542" s="3" t="s">
        <v>1249</v>
      </c>
      <c r="G542" s="5"/>
      <c r="H542" s="3" t="s">
        <v>1250</v>
      </c>
      <c r="I542" s="3" t="str">
        <f t="shared" ref="I542:I551" si="37">"18 / 28-08-2013"</f>
        <v>18 / 28-08-2013</v>
      </c>
      <c r="J542" s="4">
        <v>41514</v>
      </c>
      <c r="K542" s="6">
        <v>0.79166666666666663</v>
      </c>
      <c r="L542" s="3">
        <v>29</v>
      </c>
      <c r="M542" s="3" t="s">
        <v>534</v>
      </c>
      <c r="N542" s="3" t="s">
        <v>534</v>
      </c>
      <c r="O542" s="5"/>
      <c r="P542" s="3" t="s">
        <v>22</v>
      </c>
      <c r="Q542" s="7"/>
      <c r="R542" s="7"/>
    </row>
    <row r="543" spans="1:18" ht="38.25" x14ac:dyDescent="0.25">
      <c r="A543" s="3" t="s">
        <v>18</v>
      </c>
      <c r="B543" s="3">
        <v>2013</v>
      </c>
      <c r="C543" s="3" t="s">
        <v>19</v>
      </c>
      <c r="D543" s="3" t="str">
        <f>"571 / 2013"</f>
        <v>571 / 2013</v>
      </c>
      <c r="E543" s="4">
        <v>41516</v>
      </c>
      <c r="F543" s="3" t="s">
        <v>1251</v>
      </c>
      <c r="G543" s="5"/>
      <c r="H543" s="3" t="s">
        <v>1252</v>
      </c>
      <c r="I543" s="3" t="str">
        <f t="shared" si="37"/>
        <v>18 / 28-08-2013</v>
      </c>
      <c r="J543" s="4">
        <v>41514</v>
      </c>
      <c r="K543" s="6">
        <v>0.79166666666666663</v>
      </c>
      <c r="L543" s="3">
        <v>29</v>
      </c>
      <c r="M543" s="3" t="s">
        <v>56</v>
      </c>
      <c r="N543" s="3" t="s">
        <v>56</v>
      </c>
      <c r="O543" s="5"/>
      <c r="P543" s="3" t="s">
        <v>22</v>
      </c>
      <c r="Q543" s="7"/>
      <c r="R543" s="7"/>
    </row>
    <row r="544" spans="1:18" ht="76.5" x14ac:dyDescent="0.25">
      <c r="A544" s="3" t="s">
        <v>18</v>
      </c>
      <c r="B544" s="3">
        <v>2013</v>
      </c>
      <c r="C544" s="3" t="s">
        <v>19</v>
      </c>
      <c r="D544" s="3" t="str">
        <f>"572 / 2013"</f>
        <v>572 / 2013</v>
      </c>
      <c r="E544" s="4">
        <v>41523</v>
      </c>
      <c r="F544" s="3" t="s">
        <v>1253</v>
      </c>
      <c r="G544" s="5"/>
      <c r="H544" s="3" t="s">
        <v>1254</v>
      </c>
      <c r="I544" s="3" t="str">
        <f t="shared" si="37"/>
        <v>18 / 28-08-2013</v>
      </c>
      <c r="J544" s="4">
        <v>41514</v>
      </c>
      <c r="K544" s="6">
        <v>0.79166666666666663</v>
      </c>
      <c r="L544" s="3">
        <v>30</v>
      </c>
      <c r="M544" s="3" t="s">
        <v>56</v>
      </c>
      <c r="N544" s="3" t="s">
        <v>56</v>
      </c>
      <c r="O544" s="5"/>
      <c r="P544" s="3" t="s">
        <v>22</v>
      </c>
      <c r="Q544" s="7"/>
      <c r="R544" s="7"/>
    </row>
    <row r="545" spans="1:18" ht="114.75" x14ac:dyDescent="0.25">
      <c r="A545" s="3" t="s">
        <v>18</v>
      </c>
      <c r="B545" s="3">
        <v>2013</v>
      </c>
      <c r="C545" s="3" t="s">
        <v>19</v>
      </c>
      <c r="D545" s="3" t="str">
        <f>"573 / 2013"</f>
        <v>573 / 2013</v>
      </c>
      <c r="E545" s="4">
        <v>41536</v>
      </c>
      <c r="F545" s="3" t="s">
        <v>1255</v>
      </c>
      <c r="G545" s="5"/>
      <c r="H545" s="3" t="s">
        <v>1256</v>
      </c>
      <c r="I545" s="3" t="str">
        <f t="shared" si="37"/>
        <v>18 / 28-08-2013</v>
      </c>
      <c r="J545" s="4">
        <v>41514</v>
      </c>
      <c r="K545" s="6">
        <v>0.79166666666666663</v>
      </c>
      <c r="L545" s="3">
        <v>31</v>
      </c>
      <c r="M545" s="3" t="s">
        <v>349</v>
      </c>
      <c r="N545" s="3" t="s">
        <v>349</v>
      </c>
      <c r="O545" s="5"/>
      <c r="P545" s="3" t="s">
        <v>22</v>
      </c>
      <c r="Q545" s="7"/>
      <c r="R545" s="7"/>
    </row>
    <row r="546" spans="1:18" ht="63.75" x14ac:dyDescent="0.25">
      <c r="A546" s="3" t="s">
        <v>18</v>
      </c>
      <c r="B546" s="3">
        <v>2013</v>
      </c>
      <c r="C546" s="3" t="s">
        <v>19</v>
      </c>
      <c r="D546" s="3" t="str">
        <f>"574 / 2013"</f>
        <v>574 / 2013</v>
      </c>
      <c r="E546" s="4">
        <v>41516</v>
      </c>
      <c r="F546" s="3" t="s">
        <v>1257</v>
      </c>
      <c r="G546" s="5"/>
      <c r="H546" s="3" t="s">
        <v>1258</v>
      </c>
      <c r="I546" s="3" t="str">
        <f t="shared" si="37"/>
        <v>18 / 28-08-2013</v>
      </c>
      <c r="J546" s="4">
        <v>41514</v>
      </c>
      <c r="K546" s="6">
        <v>0.79166666666666663</v>
      </c>
      <c r="L546" s="3">
        <v>32</v>
      </c>
      <c r="M546" s="3" t="s">
        <v>572</v>
      </c>
      <c r="N546" s="3" t="s">
        <v>572</v>
      </c>
      <c r="O546" s="5"/>
      <c r="P546" s="3" t="s">
        <v>22</v>
      </c>
      <c r="Q546" s="7"/>
      <c r="R546" s="7"/>
    </row>
    <row r="547" spans="1:18" ht="63.75" x14ac:dyDescent="0.25">
      <c r="A547" s="3" t="s">
        <v>18</v>
      </c>
      <c r="B547" s="3">
        <v>2013</v>
      </c>
      <c r="C547" s="3" t="s">
        <v>19</v>
      </c>
      <c r="D547" s="3" t="str">
        <f>"575 / 2013"</f>
        <v>575 / 2013</v>
      </c>
      <c r="E547" s="4">
        <v>41516</v>
      </c>
      <c r="F547" s="3" t="s">
        <v>1259</v>
      </c>
      <c r="G547" s="5"/>
      <c r="H547" s="3" t="s">
        <v>1260</v>
      </c>
      <c r="I547" s="3" t="str">
        <f t="shared" si="37"/>
        <v>18 / 28-08-2013</v>
      </c>
      <c r="J547" s="4">
        <v>41514</v>
      </c>
      <c r="K547" s="6">
        <v>0.79166666666666663</v>
      </c>
      <c r="L547" s="3">
        <v>33</v>
      </c>
      <c r="M547" s="3" t="s">
        <v>56</v>
      </c>
      <c r="N547" s="3" t="s">
        <v>56</v>
      </c>
      <c r="O547" s="5"/>
      <c r="P547" s="3" t="s">
        <v>22</v>
      </c>
      <c r="Q547" s="7"/>
      <c r="R547" s="7"/>
    </row>
    <row r="548" spans="1:18" ht="51" x14ac:dyDescent="0.25">
      <c r="A548" s="3" t="s">
        <v>18</v>
      </c>
      <c r="B548" s="3">
        <v>2013</v>
      </c>
      <c r="C548" s="3" t="s">
        <v>19</v>
      </c>
      <c r="D548" s="3" t="str">
        <f>"576 / 2013"</f>
        <v>576 / 2013</v>
      </c>
      <c r="E548" s="4">
        <v>41528</v>
      </c>
      <c r="F548" s="3" t="s">
        <v>1261</v>
      </c>
      <c r="G548" s="5"/>
      <c r="H548" s="3" t="s">
        <v>1262</v>
      </c>
      <c r="I548" s="3" t="str">
        <f t="shared" si="37"/>
        <v>18 / 28-08-2013</v>
      </c>
      <c r="J548" s="4">
        <v>41514</v>
      </c>
      <c r="K548" s="6">
        <v>0.79166666666666663</v>
      </c>
      <c r="L548" s="3">
        <v>34</v>
      </c>
      <c r="M548" s="3" t="s">
        <v>56</v>
      </c>
      <c r="N548" s="3" t="s">
        <v>56</v>
      </c>
      <c r="O548" s="5"/>
      <c r="P548" s="3" t="s">
        <v>22</v>
      </c>
      <c r="Q548" s="7"/>
      <c r="R548" s="7"/>
    </row>
    <row r="549" spans="1:18" ht="38.25" x14ac:dyDescent="0.25">
      <c r="A549" s="3" t="s">
        <v>18</v>
      </c>
      <c r="B549" s="3">
        <v>2013</v>
      </c>
      <c r="C549" s="3" t="s">
        <v>19</v>
      </c>
      <c r="D549" s="3" t="str">
        <f>"577 / 2013"</f>
        <v>577 / 2013</v>
      </c>
      <c r="E549" s="4">
        <v>41528</v>
      </c>
      <c r="F549" s="3" t="s">
        <v>1263</v>
      </c>
      <c r="G549" s="5"/>
      <c r="H549" s="3" t="s">
        <v>1264</v>
      </c>
      <c r="I549" s="3" t="str">
        <f t="shared" si="37"/>
        <v>18 / 28-08-2013</v>
      </c>
      <c r="J549" s="4">
        <v>41514</v>
      </c>
      <c r="K549" s="6">
        <v>0.79166666666666663</v>
      </c>
      <c r="L549" s="3">
        <v>34</v>
      </c>
      <c r="M549" s="3" t="s">
        <v>56</v>
      </c>
      <c r="N549" s="3" t="s">
        <v>56</v>
      </c>
      <c r="O549" s="5"/>
      <c r="P549" s="3" t="s">
        <v>22</v>
      </c>
      <c r="Q549" s="7"/>
      <c r="R549" s="7"/>
    </row>
    <row r="550" spans="1:18" ht="63.75" x14ac:dyDescent="0.25">
      <c r="A550" s="3" t="s">
        <v>18</v>
      </c>
      <c r="B550" s="3">
        <v>2013</v>
      </c>
      <c r="C550" s="3" t="s">
        <v>19</v>
      </c>
      <c r="D550" s="3" t="str">
        <f>"578 / 2013"</f>
        <v>578 / 2013</v>
      </c>
      <c r="E550" s="4">
        <v>41527</v>
      </c>
      <c r="F550" s="3" t="s">
        <v>1265</v>
      </c>
      <c r="G550" s="5"/>
      <c r="H550" s="3" t="s">
        <v>1266</v>
      </c>
      <c r="I550" s="3" t="str">
        <f t="shared" si="37"/>
        <v>18 / 28-08-2013</v>
      </c>
      <c r="J550" s="4">
        <v>41514</v>
      </c>
      <c r="K550" s="6">
        <v>0.79166666666666663</v>
      </c>
      <c r="L550" s="3">
        <v>34</v>
      </c>
      <c r="M550" s="3" t="s">
        <v>56</v>
      </c>
      <c r="N550" s="3" t="s">
        <v>56</v>
      </c>
      <c r="O550" s="5"/>
      <c r="P550" s="3" t="s">
        <v>22</v>
      </c>
      <c r="Q550" s="7"/>
      <c r="R550" s="7"/>
    </row>
    <row r="551" spans="1:18" ht="51" x14ac:dyDescent="0.25">
      <c r="A551" s="3" t="s">
        <v>18</v>
      </c>
      <c r="B551" s="3">
        <v>2013</v>
      </c>
      <c r="C551" s="3" t="s">
        <v>19</v>
      </c>
      <c r="D551" s="3" t="str">
        <f>"579 / 2013"</f>
        <v>579 / 2013</v>
      </c>
      <c r="E551" s="4">
        <v>41528</v>
      </c>
      <c r="F551" s="3" t="s">
        <v>1267</v>
      </c>
      <c r="G551" s="5"/>
      <c r="H551" s="3" t="s">
        <v>1268</v>
      </c>
      <c r="I551" s="3" t="str">
        <f t="shared" si="37"/>
        <v>18 / 28-08-2013</v>
      </c>
      <c r="J551" s="4">
        <v>41514</v>
      </c>
      <c r="K551" s="6">
        <v>0.79166666666666663</v>
      </c>
      <c r="L551" s="3">
        <v>34</v>
      </c>
      <c r="M551" s="3" t="s">
        <v>56</v>
      </c>
      <c r="N551" s="3" t="s">
        <v>56</v>
      </c>
      <c r="O551" s="5"/>
      <c r="P551" s="3" t="s">
        <v>22</v>
      </c>
      <c r="Q551" s="7"/>
      <c r="R551" s="7"/>
    </row>
    <row r="552" spans="1:18" ht="89.25" x14ac:dyDescent="0.25">
      <c r="A552" s="3" t="s">
        <v>18</v>
      </c>
      <c r="B552" s="3">
        <v>2013</v>
      </c>
      <c r="C552" s="3" t="s">
        <v>19</v>
      </c>
      <c r="D552" s="3" t="str">
        <f>"58/2013"</f>
        <v>58/2013</v>
      </c>
      <c r="E552" s="4">
        <v>41325</v>
      </c>
      <c r="F552" s="3" t="s">
        <v>1269</v>
      </c>
      <c r="G552" s="5"/>
      <c r="H552" s="3" t="s">
        <v>1270</v>
      </c>
      <c r="I552" s="3" t="str">
        <f>"5/20-02-2013"</f>
        <v>5/20-02-2013</v>
      </c>
      <c r="J552" s="4">
        <v>41325</v>
      </c>
      <c r="K552" s="6">
        <v>0.79166666666666663</v>
      </c>
      <c r="L552" s="3">
        <v>9</v>
      </c>
      <c r="M552" s="3" t="s">
        <v>1271</v>
      </c>
      <c r="N552" s="3" t="s">
        <v>1271</v>
      </c>
      <c r="O552" s="5"/>
      <c r="P552" s="3" t="s">
        <v>22</v>
      </c>
      <c r="Q552" s="7"/>
      <c r="R552" s="7"/>
    </row>
    <row r="553" spans="1:18" ht="38.25" x14ac:dyDescent="0.25">
      <c r="A553" s="3" t="s">
        <v>18</v>
      </c>
      <c r="B553" s="3">
        <v>2013</v>
      </c>
      <c r="C553" s="3" t="s">
        <v>19</v>
      </c>
      <c r="D553" s="3" t="str">
        <f>"580 / 2013"</f>
        <v>580 / 2013</v>
      </c>
      <c r="E553" s="4">
        <v>41516</v>
      </c>
      <c r="F553" s="3" t="s">
        <v>1272</v>
      </c>
      <c r="G553" s="5"/>
      <c r="H553" s="3" t="s">
        <v>954</v>
      </c>
      <c r="I553" s="3" t="str">
        <f t="shared" ref="I553:I562" si="38">"18 / 28-08-2013"</f>
        <v>18 / 28-08-2013</v>
      </c>
      <c r="J553" s="4">
        <v>41514</v>
      </c>
      <c r="K553" s="6">
        <v>0.79166666666666663</v>
      </c>
      <c r="L553" s="3">
        <v>35</v>
      </c>
      <c r="M553" s="3" t="s">
        <v>56</v>
      </c>
      <c r="N553" s="3" t="s">
        <v>56</v>
      </c>
      <c r="O553" s="5"/>
      <c r="P553" s="3" t="s">
        <v>22</v>
      </c>
      <c r="Q553" s="7"/>
      <c r="R553" s="7"/>
    </row>
    <row r="554" spans="1:18" ht="63.75" x14ac:dyDescent="0.25">
      <c r="A554" s="3" t="s">
        <v>18</v>
      </c>
      <c r="B554" s="3">
        <v>2013</v>
      </c>
      <c r="C554" s="3" t="s">
        <v>19</v>
      </c>
      <c r="D554" s="3" t="str">
        <f>"581 / 2013"</f>
        <v>581 / 2013</v>
      </c>
      <c r="E554" s="4">
        <v>41519</v>
      </c>
      <c r="F554" s="3" t="s">
        <v>1273</v>
      </c>
      <c r="G554" s="5"/>
      <c r="H554" s="3" t="s">
        <v>1274</v>
      </c>
      <c r="I554" s="3" t="str">
        <f t="shared" si="38"/>
        <v>18 / 28-08-2013</v>
      </c>
      <c r="J554" s="4">
        <v>41514</v>
      </c>
      <c r="K554" s="6">
        <v>0.79166666666666663</v>
      </c>
      <c r="L554" s="3">
        <v>35</v>
      </c>
      <c r="M554" s="3" t="s">
        <v>56</v>
      </c>
      <c r="N554" s="3" t="s">
        <v>56</v>
      </c>
      <c r="O554" s="5"/>
      <c r="P554" s="3" t="s">
        <v>22</v>
      </c>
      <c r="Q554" s="7"/>
      <c r="R554" s="7"/>
    </row>
    <row r="555" spans="1:18" ht="51" x14ac:dyDescent="0.25">
      <c r="A555" s="3" t="s">
        <v>18</v>
      </c>
      <c r="B555" s="3">
        <v>2013</v>
      </c>
      <c r="C555" s="3" t="s">
        <v>19</v>
      </c>
      <c r="D555" s="3" t="str">
        <f>"582 / 2013"</f>
        <v>582 / 2013</v>
      </c>
      <c r="E555" s="4">
        <v>41516</v>
      </c>
      <c r="F555" s="3" t="s">
        <v>1275</v>
      </c>
      <c r="G555" s="5"/>
      <c r="H555" s="3" t="s">
        <v>1276</v>
      </c>
      <c r="I555" s="3" t="str">
        <f t="shared" si="38"/>
        <v>18 / 28-08-2013</v>
      </c>
      <c r="J555" s="4">
        <v>41514</v>
      </c>
      <c r="K555" s="6">
        <v>0.79166666666666663</v>
      </c>
      <c r="L555" s="3">
        <v>35</v>
      </c>
      <c r="M555" s="3" t="s">
        <v>56</v>
      </c>
      <c r="N555" s="3" t="s">
        <v>56</v>
      </c>
      <c r="O555" s="5"/>
      <c r="P555" s="3" t="s">
        <v>22</v>
      </c>
      <c r="Q555" s="7"/>
      <c r="R555" s="7"/>
    </row>
    <row r="556" spans="1:18" ht="76.5" x14ac:dyDescent="0.25">
      <c r="A556" s="3" t="s">
        <v>18</v>
      </c>
      <c r="B556" s="3">
        <v>2013</v>
      </c>
      <c r="C556" s="3" t="s">
        <v>19</v>
      </c>
      <c r="D556" s="3" t="str">
        <f>"583 / 2013"</f>
        <v>583 / 2013</v>
      </c>
      <c r="E556" s="4">
        <v>41521</v>
      </c>
      <c r="F556" s="3" t="s">
        <v>1277</v>
      </c>
      <c r="G556" s="5"/>
      <c r="H556" s="3" t="s">
        <v>1278</v>
      </c>
      <c r="I556" s="3" t="str">
        <f t="shared" si="38"/>
        <v>18 / 28-08-2013</v>
      </c>
      <c r="J556" s="4">
        <v>41514</v>
      </c>
      <c r="K556" s="6">
        <v>0.79166666666666663</v>
      </c>
      <c r="L556" s="3">
        <v>36</v>
      </c>
      <c r="M556" s="3" t="s">
        <v>56</v>
      </c>
      <c r="N556" s="3" t="s">
        <v>56</v>
      </c>
      <c r="O556" s="5"/>
      <c r="P556" s="3" t="s">
        <v>22</v>
      </c>
      <c r="Q556" s="7"/>
      <c r="R556" s="7"/>
    </row>
    <row r="557" spans="1:18" ht="76.5" x14ac:dyDescent="0.25">
      <c r="A557" s="3" t="s">
        <v>18</v>
      </c>
      <c r="B557" s="3">
        <v>2013</v>
      </c>
      <c r="C557" s="3" t="s">
        <v>19</v>
      </c>
      <c r="D557" s="3" t="str">
        <f>"584 / 2013"</f>
        <v>584 / 2013</v>
      </c>
      <c r="E557" s="4">
        <v>41520</v>
      </c>
      <c r="F557" s="3" t="s">
        <v>1279</v>
      </c>
      <c r="G557" s="5"/>
      <c r="H557" s="3" t="s">
        <v>1280</v>
      </c>
      <c r="I557" s="3" t="str">
        <f t="shared" si="38"/>
        <v>18 / 28-08-2013</v>
      </c>
      <c r="J557" s="4">
        <v>41514</v>
      </c>
      <c r="K557" s="6">
        <v>0.79166666666666663</v>
      </c>
      <c r="L557" s="3">
        <v>36</v>
      </c>
      <c r="M557" s="3" t="s">
        <v>56</v>
      </c>
      <c r="N557" s="3" t="s">
        <v>56</v>
      </c>
      <c r="O557" s="5"/>
      <c r="P557" s="3" t="s">
        <v>22</v>
      </c>
      <c r="Q557" s="7"/>
      <c r="R557" s="7"/>
    </row>
    <row r="558" spans="1:18" ht="63.75" x14ac:dyDescent="0.25">
      <c r="A558" s="3" t="s">
        <v>18</v>
      </c>
      <c r="B558" s="3">
        <v>2013</v>
      </c>
      <c r="C558" s="3" t="s">
        <v>19</v>
      </c>
      <c r="D558" s="3" t="str">
        <f>"585 / 2013"</f>
        <v>585 / 2013</v>
      </c>
      <c r="E558" s="4">
        <v>41516</v>
      </c>
      <c r="F558" s="3" t="s">
        <v>1281</v>
      </c>
      <c r="G558" s="5"/>
      <c r="H558" s="3" t="s">
        <v>1282</v>
      </c>
      <c r="I558" s="3" t="str">
        <f t="shared" si="38"/>
        <v>18 / 28-08-2013</v>
      </c>
      <c r="J558" s="4">
        <v>41514</v>
      </c>
      <c r="K558" s="6">
        <v>0.79166666666666663</v>
      </c>
      <c r="L558" s="3">
        <v>37</v>
      </c>
      <c r="M558" s="3" t="s">
        <v>355</v>
      </c>
      <c r="N558" s="3" t="s">
        <v>355</v>
      </c>
      <c r="O558" s="5"/>
      <c r="P558" s="3" t="s">
        <v>22</v>
      </c>
      <c r="Q558" s="7"/>
      <c r="R558" s="7"/>
    </row>
    <row r="559" spans="1:18" ht="63.75" x14ac:dyDescent="0.25">
      <c r="A559" s="3" t="s">
        <v>18</v>
      </c>
      <c r="B559" s="3">
        <v>2013</v>
      </c>
      <c r="C559" s="3" t="s">
        <v>19</v>
      </c>
      <c r="D559" s="3" t="str">
        <f>"586 / 2013"</f>
        <v>586 / 2013</v>
      </c>
      <c r="E559" s="4">
        <v>41515</v>
      </c>
      <c r="F559" s="3" t="s">
        <v>1283</v>
      </c>
      <c r="G559" s="5"/>
      <c r="H559" s="3" t="s">
        <v>1284</v>
      </c>
      <c r="I559" s="3" t="str">
        <f t="shared" si="38"/>
        <v>18 / 28-08-2013</v>
      </c>
      <c r="J559" s="4">
        <v>41514</v>
      </c>
      <c r="K559" s="6">
        <v>0.79166666666666663</v>
      </c>
      <c r="L559" s="3">
        <v>38</v>
      </c>
      <c r="M559" s="3" t="s">
        <v>355</v>
      </c>
      <c r="N559" s="3" t="s">
        <v>355</v>
      </c>
      <c r="O559" s="5"/>
      <c r="P559" s="3" t="s">
        <v>22</v>
      </c>
      <c r="Q559" s="7"/>
      <c r="R559" s="7"/>
    </row>
    <row r="560" spans="1:18" ht="114.75" x14ac:dyDescent="0.25">
      <c r="A560" s="3" t="s">
        <v>18</v>
      </c>
      <c r="B560" s="3">
        <v>2013</v>
      </c>
      <c r="C560" s="3" t="s">
        <v>19</v>
      </c>
      <c r="D560" s="3" t="str">
        <f>"587 / 2013"</f>
        <v>587 / 2013</v>
      </c>
      <c r="E560" s="4">
        <v>41522</v>
      </c>
      <c r="F560" s="3" t="s">
        <v>1285</v>
      </c>
      <c r="G560" s="5"/>
      <c r="H560" s="3" t="s">
        <v>1286</v>
      </c>
      <c r="I560" s="3" t="str">
        <f t="shared" si="38"/>
        <v>18 / 28-08-2013</v>
      </c>
      <c r="J560" s="4">
        <v>41514</v>
      </c>
      <c r="K560" s="6">
        <v>0.79166666666666663</v>
      </c>
      <c r="L560" s="3">
        <v>39</v>
      </c>
      <c r="M560" s="3" t="s">
        <v>1287</v>
      </c>
      <c r="N560" s="3" t="s">
        <v>1287</v>
      </c>
      <c r="O560" s="5"/>
      <c r="P560" s="3" t="s">
        <v>22</v>
      </c>
      <c r="Q560" s="7"/>
      <c r="R560" s="7"/>
    </row>
    <row r="561" spans="1:18" ht="51" x14ac:dyDescent="0.25">
      <c r="A561" s="3" t="s">
        <v>18</v>
      </c>
      <c r="B561" s="3">
        <v>2013</v>
      </c>
      <c r="C561" s="3" t="s">
        <v>19</v>
      </c>
      <c r="D561" s="3" t="str">
        <f>"588 / 2013"</f>
        <v>588 / 2013</v>
      </c>
      <c r="E561" s="4">
        <v>41515</v>
      </c>
      <c r="F561" s="3" t="s">
        <v>1288</v>
      </c>
      <c r="G561" s="5"/>
      <c r="H561" s="3" t="s">
        <v>1289</v>
      </c>
      <c r="I561" s="3" t="str">
        <f t="shared" si="38"/>
        <v>18 / 28-08-2013</v>
      </c>
      <c r="J561" s="4">
        <v>41514</v>
      </c>
      <c r="K561" s="6">
        <v>0.79166666666666663</v>
      </c>
      <c r="L561" s="3">
        <v>40</v>
      </c>
      <c r="M561" s="3" t="s">
        <v>355</v>
      </c>
      <c r="N561" s="3" t="s">
        <v>355</v>
      </c>
      <c r="O561" s="5"/>
      <c r="P561" s="3" t="s">
        <v>22</v>
      </c>
      <c r="Q561" s="7"/>
      <c r="R561" s="7"/>
    </row>
    <row r="562" spans="1:18" ht="76.5" x14ac:dyDescent="0.25">
      <c r="A562" s="3" t="s">
        <v>18</v>
      </c>
      <c r="B562" s="3">
        <v>2013</v>
      </c>
      <c r="C562" s="3" t="s">
        <v>19</v>
      </c>
      <c r="D562" s="3" t="str">
        <f>"589/ 2013"</f>
        <v>589/ 2013</v>
      </c>
      <c r="E562" s="4">
        <v>41521</v>
      </c>
      <c r="F562" s="3" t="s">
        <v>1290</v>
      </c>
      <c r="G562" s="5"/>
      <c r="H562" s="3" t="s">
        <v>1291</v>
      </c>
      <c r="I562" s="3" t="str">
        <f t="shared" si="38"/>
        <v>18 / 28-08-2013</v>
      </c>
      <c r="J562" s="4">
        <v>41514</v>
      </c>
      <c r="K562" s="6">
        <v>0.79166666666666663</v>
      </c>
      <c r="L562" s="3">
        <v>41</v>
      </c>
      <c r="M562" s="3" t="s">
        <v>552</v>
      </c>
      <c r="N562" s="3" t="s">
        <v>552</v>
      </c>
      <c r="O562" s="5"/>
      <c r="P562" s="3" t="s">
        <v>22</v>
      </c>
      <c r="Q562" s="7"/>
      <c r="R562" s="7"/>
    </row>
    <row r="563" spans="1:18" ht="102" x14ac:dyDescent="0.25">
      <c r="A563" s="3" t="s">
        <v>18</v>
      </c>
      <c r="B563" s="3">
        <v>2013</v>
      </c>
      <c r="C563" s="3" t="s">
        <v>19</v>
      </c>
      <c r="D563" s="3" t="str">
        <f>"59/2013"</f>
        <v>59/2013</v>
      </c>
      <c r="E563" s="4">
        <v>41325</v>
      </c>
      <c r="F563" s="3" t="s">
        <v>1292</v>
      </c>
      <c r="G563" s="5"/>
      <c r="H563" s="3" t="s">
        <v>1293</v>
      </c>
      <c r="I563" s="3" t="str">
        <f>"5/20-02-2013"</f>
        <v>5/20-02-2013</v>
      </c>
      <c r="J563" s="4">
        <v>41325</v>
      </c>
      <c r="K563" s="6">
        <v>0.79166666666666663</v>
      </c>
      <c r="L563" s="3">
        <v>10</v>
      </c>
      <c r="M563" s="3" t="s">
        <v>1294</v>
      </c>
      <c r="N563" s="3" t="s">
        <v>1294</v>
      </c>
      <c r="O563" s="5"/>
      <c r="P563" s="3" t="s">
        <v>22</v>
      </c>
      <c r="Q563" s="7"/>
      <c r="R563" s="7"/>
    </row>
    <row r="564" spans="1:18" ht="102" x14ac:dyDescent="0.25">
      <c r="A564" s="3" t="s">
        <v>18</v>
      </c>
      <c r="B564" s="3">
        <v>2013</v>
      </c>
      <c r="C564" s="3" t="s">
        <v>19</v>
      </c>
      <c r="D564" s="3" t="str">
        <f>"590 / 2013"</f>
        <v>590 / 2013</v>
      </c>
      <c r="E564" s="4">
        <v>41515</v>
      </c>
      <c r="F564" s="3" t="s">
        <v>1295</v>
      </c>
      <c r="G564" s="5"/>
      <c r="H564" s="3" t="s">
        <v>1296</v>
      </c>
      <c r="I564" s="3" t="str">
        <f t="shared" ref="I564:I571" si="39">"18 / 28-08-2013"</f>
        <v>18 / 28-08-2013</v>
      </c>
      <c r="J564" s="4">
        <v>41514</v>
      </c>
      <c r="K564" s="6">
        <v>0.79166666666666663</v>
      </c>
      <c r="L564" s="3">
        <v>42</v>
      </c>
      <c r="M564" s="3" t="s">
        <v>804</v>
      </c>
      <c r="N564" s="3" t="s">
        <v>804</v>
      </c>
      <c r="O564" s="5"/>
      <c r="P564" s="3" t="s">
        <v>22</v>
      </c>
      <c r="Q564" s="7"/>
      <c r="R564" s="7"/>
    </row>
    <row r="565" spans="1:18" ht="102" x14ac:dyDescent="0.25">
      <c r="A565" s="3" t="s">
        <v>18</v>
      </c>
      <c r="B565" s="3">
        <v>2013</v>
      </c>
      <c r="C565" s="3" t="s">
        <v>19</v>
      </c>
      <c r="D565" s="3" t="str">
        <f>"591 / 2013"</f>
        <v>591 / 2013</v>
      </c>
      <c r="E565" s="4">
        <v>41515</v>
      </c>
      <c r="F565" s="3" t="s">
        <v>1297</v>
      </c>
      <c r="G565" s="5"/>
      <c r="H565" s="3" t="s">
        <v>1298</v>
      </c>
      <c r="I565" s="3" t="str">
        <f t="shared" si="39"/>
        <v>18 / 28-08-2013</v>
      </c>
      <c r="J565" s="4">
        <v>41514</v>
      </c>
      <c r="K565" s="6">
        <v>0.79166666666666663</v>
      </c>
      <c r="L565" s="3">
        <v>42</v>
      </c>
      <c r="M565" s="3" t="s">
        <v>804</v>
      </c>
      <c r="N565" s="3" t="s">
        <v>804</v>
      </c>
      <c r="O565" s="5"/>
      <c r="P565" s="3" t="s">
        <v>22</v>
      </c>
      <c r="Q565" s="7"/>
      <c r="R565" s="7"/>
    </row>
    <row r="566" spans="1:18" ht="51" x14ac:dyDescent="0.25">
      <c r="A566" s="3" t="s">
        <v>18</v>
      </c>
      <c r="B566" s="3">
        <v>2013</v>
      </c>
      <c r="C566" s="3" t="s">
        <v>19</v>
      </c>
      <c r="D566" s="3" t="str">
        <f>"592 / 2013"</f>
        <v>592 / 2013</v>
      </c>
      <c r="E566" s="4">
        <v>41515</v>
      </c>
      <c r="F566" s="3" t="s">
        <v>1299</v>
      </c>
      <c r="G566" s="5"/>
      <c r="H566" s="3" t="s">
        <v>1300</v>
      </c>
      <c r="I566" s="3" t="str">
        <f t="shared" si="39"/>
        <v>18 / 28-08-2013</v>
      </c>
      <c r="J566" s="4">
        <v>41514</v>
      </c>
      <c r="K566" s="6">
        <v>0.79166666666666663</v>
      </c>
      <c r="L566" s="3">
        <v>43</v>
      </c>
      <c r="M566" s="3" t="s">
        <v>32</v>
      </c>
      <c r="N566" s="3" t="s">
        <v>32</v>
      </c>
      <c r="O566" s="5"/>
      <c r="P566" s="3" t="s">
        <v>22</v>
      </c>
      <c r="Q566" s="7"/>
      <c r="R566" s="7"/>
    </row>
    <row r="567" spans="1:18" ht="51" x14ac:dyDescent="0.25">
      <c r="A567" s="3" t="s">
        <v>18</v>
      </c>
      <c r="B567" s="3">
        <v>2013</v>
      </c>
      <c r="C567" s="3" t="s">
        <v>19</v>
      </c>
      <c r="D567" s="3" t="str">
        <f>"593 / 2013"</f>
        <v>593 / 2013</v>
      </c>
      <c r="E567" s="4">
        <v>41515</v>
      </c>
      <c r="F567" s="3" t="s">
        <v>1301</v>
      </c>
      <c r="G567" s="5"/>
      <c r="H567" s="3" t="s">
        <v>1302</v>
      </c>
      <c r="I567" s="3" t="str">
        <f t="shared" si="39"/>
        <v>18 / 28-08-2013</v>
      </c>
      <c r="J567" s="4">
        <v>41514</v>
      </c>
      <c r="K567" s="6">
        <v>0.79166666666666663</v>
      </c>
      <c r="L567" s="3">
        <v>44</v>
      </c>
      <c r="M567" s="3" t="s">
        <v>32</v>
      </c>
      <c r="N567" s="3" t="s">
        <v>32</v>
      </c>
      <c r="O567" s="5"/>
      <c r="P567" s="3" t="s">
        <v>22</v>
      </c>
      <c r="Q567" s="7"/>
      <c r="R567" s="7"/>
    </row>
    <row r="568" spans="1:18" ht="51" x14ac:dyDescent="0.25">
      <c r="A568" s="3" t="s">
        <v>18</v>
      </c>
      <c r="B568" s="3">
        <v>2013</v>
      </c>
      <c r="C568" s="3" t="s">
        <v>19</v>
      </c>
      <c r="D568" s="3" t="str">
        <f>"594 / 2013"</f>
        <v>594 / 2013</v>
      </c>
      <c r="E568" s="4">
        <v>41515</v>
      </c>
      <c r="F568" s="3" t="s">
        <v>1303</v>
      </c>
      <c r="G568" s="5"/>
      <c r="H568" s="3" t="s">
        <v>1304</v>
      </c>
      <c r="I568" s="3" t="str">
        <f t="shared" si="39"/>
        <v>18 / 28-08-2013</v>
      </c>
      <c r="J568" s="4">
        <v>41514</v>
      </c>
      <c r="K568" s="6">
        <v>0.79166666666666663</v>
      </c>
      <c r="L568" s="3">
        <v>44</v>
      </c>
      <c r="M568" s="3" t="s">
        <v>32</v>
      </c>
      <c r="N568" s="3" t="s">
        <v>32</v>
      </c>
      <c r="O568" s="5"/>
      <c r="P568" s="3" t="s">
        <v>22</v>
      </c>
      <c r="Q568" s="7"/>
      <c r="R568" s="7"/>
    </row>
    <row r="569" spans="1:18" ht="102" x14ac:dyDescent="0.25">
      <c r="A569" s="3" t="s">
        <v>18</v>
      </c>
      <c r="B569" s="3">
        <v>2013</v>
      </c>
      <c r="C569" s="3" t="s">
        <v>19</v>
      </c>
      <c r="D569" s="3" t="str">
        <f>"595 / 2013"</f>
        <v>595 / 2013</v>
      </c>
      <c r="E569" s="4">
        <v>41519</v>
      </c>
      <c r="F569" s="3" t="s">
        <v>1305</v>
      </c>
      <c r="G569" s="5"/>
      <c r="H569" s="3" t="s">
        <v>1306</v>
      </c>
      <c r="I569" s="3" t="str">
        <f t="shared" si="39"/>
        <v>18 / 28-08-2013</v>
      </c>
      <c r="J569" s="4">
        <v>41514</v>
      </c>
      <c r="K569" s="6">
        <v>0.79166666666666663</v>
      </c>
      <c r="L569" s="3">
        <v>45</v>
      </c>
      <c r="M569" s="3" t="s">
        <v>286</v>
      </c>
      <c r="N569" s="3" t="s">
        <v>286</v>
      </c>
      <c r="O569" s="5"/>
      <c r="P569" s="3" t="s">
        <v>22</v>
      </c>
      <c r="Q569" s="7"/>
      <c r="R569" s="7"/>
    </row>
    <row r="570" spans="1:18" ht="63.75" x14ac:dyDescent="0.25">
      <c r="A570" s="3" t="s">
        <v>18</v>
      </c>
      <c r="B570" s="3">
        <v>2013</v>
      </c>
      <c r="C570" s="3" t="s">
        <v>19</v>
      </c>
      <c r="D570" s="3" t="str">
        <f>"597 / 2013"</f>
        <v>597 / 2013</v>
      </c>
      <c r="E570" s="4">
        <v>41515</v>
      </c>
      <c r="F570" s="3" t="s">
        <v>1307</v>
      </c>
      <c r="G570" s="5"/>
      <c r="H570" s="3" t="s">
        <v>1308</v>
      </c>
      <c r="I570" s="3" t="str">
        <f t="shared" si="39"/>
        <v>18 / 28-08-2013</v>
      </c>
      <c r="J570" s="4">
        <v>41514</v>
      </c>
      <c r="K570" s="6">
        <v>0.79166666666666663</v>
      </c>
      <c r="L570" s="5"/>
      <c r="M570" s="3" t="s">
        <v>1309</v>
      </c>
      <c r="N570" s="3" t="s">
        <v>1309</v>
      </c>
      <c r="O570" s="5"/>
      <c r="P570" s="3" t="s">
        <v>74</v>
      </c>
      <c r="Q570" s="7"/>
      <c r="R570" s="7"/>
    </row>
    <row r="571" spans="1:18" ht="51" x14ac:dyDescent="0.25">
      <c r="A571" s="3" t="s">
        <v>18</v>
      </c>
      <c r="B571" s="3">
        <v>2013</v>
      </c>
      <c r="C571" s="3" t="s">
        <v>19</v>
      </c>
      <c r="D571" s="3" t="str">
        <f>"598 / 2013"</f>
        <v>598 / 2013</v>
      </c>
      <c r="E571" s="4">
        <v>41520</v>
      </c>
      <c r="F571" s="3" t="s">
        <v>1310</v>
      </c>
      <c r="G571" s="5"/>
      <c r="H571" s="3" t="s">
        <v>1311</v>
      </c>
      <c r="I571" s="3" t="str">
        <f t="shared" si="39"/>
        <v>18 / 28-08-2013</v>
      </c>
      <c r="J571" s="4">
        <v>41514</v>
      </c>
      <c r="K571" s="6">
        <v>0.79166666666666663</v>
      </c>
      <c r="L571" s="5"/>
      <c r="M571" s="3" t="s">
        <v>333</v>
      </c>
      <c r="N571" s="3" t="s">
        <v>333</v>
      </c>
      <c r="O571" s="5"/>
      <c r="P571" s="3" t="s">
        <v>74</v>
      </c>
      <c r="Q571" s="7"/>
      <c r="R571" s="7"/>
    </row>
    <row r="572" spans="1:18" ht="76.5" x14ac:dyDescent="0.25">
      <c r="A572" s="3" t="s">
        <v>18</v>
      </c>
      <c r="B572" s="3">
        <v>2013</v>
      </c>
      <c r="C572" s="3" t="s">
        <v>19</v>
      </c>
      <c r="D572" s="3" t="str">
        <f>"60/2013"</f>
        <v>60/2013</v>
      </c>
      <c r="E572" s="4">
        <v>41325</v>
      </c>
      <c r="F572" s="3" t="s">
        <v>1312</v>
      </c>
      <c r="G572" s="5"/>
      <c r="H572" s="3" t="s">
        <v>1313</v>
      </c>
      <c r="I572" s="3" t="str">
        <f>"5/20-02-2013"</f>
        <v>5/20-02-2013</v>
      </c>
      <c r="J572" s="4">
        <v>41325</v>
      </c>
      <c r="K572" s="6">
        <v>0.79166666666666663</v>
      </c>
      <c r="L572" s="3">
        <v>11</v>
      </c>
      <c r="M572" s="3" t="s">
        <v>62</v>
      </c>
      <c r="N572" s="3" t="s">
        <v>62</v>
      </c>
      <c r="O572" s="5"/>
      <c r="P572" s="3" t="s">
        <v>22</v>
      </c>
      <c r="Q572" s="7"/>
      <c r="R572" s="7"/>
    </row>
    <row r="573" spans="1:18" ht="89.25" x14ac:dyDescent="0.25">
      <c r="A573" s="3" t="s">
        <v>18</v>
      </c>
      <c r="B573" s="3">
        <v>2013</v>
      </c>
      <c r="C573" s="3" t="s">
        <v>19</v>
      </c>
      <c r="D573" s="3" t="str">
        <f>"600 / 2013"</f>
        <v>600 / 2013</v>
      </c>
      <c r="E573" s="4">
        <v>41515</v>
      </c>
      <c r="F573" s="3" t="s">
        <v>1314</v>
      </c>
      <c r="G573" s="5"/>
      <c r="H573" s="3" t="s">
        <v>1315</v>
      </c>
      <c r="I573" s="3" t="str">
        <f>"19 / 29-08-2013"</f>
        <v>19 / 29-08-2013</v>
      </c>
      <c r="J573" s="4">
        <v>41515</v>
      </c>
      <c r="K573" s="6">
        <v>0.875</v>
      </c>
      <c r="L573" s="3">
        <v>4</v>
      </c>
      <c r="M573" s="3" t="s">
        <v>1316</v>
      </c>
      <c r="N573" s="3" t="s">
        <v>1316</v>
      </c>
      <c r="O573" s="5"/>
      <c r="P573" s="3" t="s">
        <v>22</v>
      </c>
      <c r="Q573" s="7"/>
      <c r="R573" s="7"/>
    </row>
    <row r="574" spans="1:18" ht="89.25" x14ac:dyDescent="0.25">
      <c r="A574" s="3" t="s">
        <v>18</v>
      </c>
      <c r="B574" s="3">
        <v>2013</v>
      </c>
      <c r="C574" s="3" t="s">
        <v>19</v>
      </c>
      <c r="D574" s="3" t="str">
        <f>"601 / 2013"</f>
        <v>601 / 2013</v>
      </c>
      <c r="E574" s="4">
        <v>41516</v>
      </c>
      <c r="F574" s="3" t="s">
        <v>1317</v>
      </c>
      <c r="G574" s="5"/>
      <c r="H574" s="3" t="s">
        <v>1318</v>
      </c>
      <c r="I574" s="3" t="str">
        <f>"19 / 29-08-2013"</f>
        <v>19 / 29-08-2013</v>
      </c>
      <c r="J574" s="4">
        <v>41515</v>
      </c>
      <c r="K574" s="6">
        <v>0.875</v>
      </c>
      <c r="L574" s="3">
        <v>5</v>
      </c>
      <c r="M574" s="3" t="s">
        <v>1319</v>
      </c>
      <c r="N574" s="3" t="s">
        <v>1320</v>
      </c>
      <c r="O574" s="5"/>
      <c r="P574" s="3" t="s">
        <v>22</v>
      </c>
      <c r="Q574" s="7"/>
      <c r="R574" s="7"/>
    </row>
    <row r="575" spans="1:18" ht="102" x14ac:dyDescent="0.25">
      <c r="A575" s="3" t="s">
        <v>18</v>
      </c>
      <c r="B575" s="3">
        <v>2013</v>
      </c>
      <c r="C575" s="3" t="s">
        <v>19</v>
      </c>
      <c r="D575" s="3" t="str">
        <f>"602 / 2013"</f>
        <v>602 / 2013</v>
      </c>
      <c r="E575" s="4">
        <v>41516</v>
      </c>
      <c r="F575" s="3" t="s">
        <v>1321</v>
      </c>
      <c r="G575" s="5"/>
      <c r="H575" s="3" t="s">
        <v>1322</v>
      </c>
      <c r="I575" s="3" t="str">
        <f>"19 / 29-08-2013"</f>
        <v>19 / 29-08-2013</v>
      </c>
      <c r="J575" s="4">
        <v>41515</v>
      </c>
      <c r="K575" s="6">
        <v>0.875</v>
      </c>
      <c r="L575" s="3">
        <v>5</v>
      </c>
      <c r="M575" s="3" t="s">
        <v>1319</v>
      </c>
      <c r="N575" s="3" t="s">
        <v>1323</v>
      </c>
      <c r="O575" s="5"/>
      <c r="P575" s="3" t="s">
        <v>22</v>
      </c>
      <c r="Q575" s="7"/>
      <c r="R575" s="7"/>
    </row>
    <row r="576" spans="1:18" ht="63.75" x14ac:dyDescent="0.25">
      <c r="A576" s="3" t="s">
        <v>18</v>
      </c>
      <c r="B576" s="3">
        <v>2013</v>
      </c>
      <c r="C576" s="3" t="s">
        <v>19</v>
      </c>
      <c r="D576" s="3" t="str">
        <f>"603 / 2013"</f>
        <v>603 / 2013</v>
      </c>
      <c r="E576" s="4">
        <v>41519</v>
      </c>
      <c r="F576" s="3" t="s">
        <v>1324</v>
      </c>
      <c r="G576" s="5"/>
      <c r="H576" s="3" t="s">
        <v>1325</v>
      </c>
      <c r="I576" s="3" t="str">
        <f>"19 / 29-08-2013"</f>
        <v>19 / 29-08-2013</v>
      </c>
      <c r="J576" s="4">
        <v>41515</v>
      </c>
      <c r="K576" s="6">
        <v>0.875</v>
      </c>
      <c r="L576" s="3">
        <v>6</v>
      </c>
      <c r="M576" s="3" t="s">
        <v>784</v>
      </c>
      <c r="N576" s="3" t="s">
        <v>784</v>
      </c>
      <c r="O576" s="5"/>
      <c r="P576" s="3" t="s">
        <v>22</v>
      </c>
      <c r="Q576" s="7"/>
      <c r="R576" s="7"/>
    </row>
    <row r="577" spans="1:18" ht="89.25" x14ac:dyDescent="0.25">
      <c r="A577" s="3" t="s">
        <v>18</v>
      </c>
      <c r="B577" s="3">
        <v>2013</v>
      </c>
      <c r="C577" s="3" t="s">
        <v>19</v>
      </c>
      <c r="D577" s="3" t="str">
        <f>"604 / 2013"</f>
        <v>604 / 2013</v>
      </c>
      <c r="E577" s="4">
        <v>41542</v>
      </c>
      <c r="F577" s="3" t="s">
        <v>1326</v>
      </c>
      <c r="G577" s="5"/>
      <c r="H577" s="3" t="s">
        <v>1327</v>
      </c>
      <c r="I577" s="3" t="str">
        <f t="shared" ref="I577:I582" si="40">"20 / 11-09-2013"</f>
        <v>20 / 11-09-2013</v>
      </c>
      <c r="J577" s="4">
        <v>41528</v>
      </c>
      <c r="K577" s="6">
        <v>0.79166666666666663</v>
      </c>
      <c r="L577" s="3">
        <v>1</v>
      </c>
      <c r="M577" s="5"/>
      <c r="N577" s="5"/>
      <c r="O577" s="5"/>
      <c r="P577" s="3" t="s">
        <v>22</v>
      </c>
      <c r="Q577" s="7"/>
      <c r="R577" s="7"/>
    </row>
    <row r="578" spans="1:18" ht="63.75" x14ac:dyDescent="0.25">
      <c r="A578" s="3" t="s">
        <v>18</v>
      </c>
      <c r="B578" s="3">
        <v>2013</v>
      </c>
      <c r="C578" s="3" t="s">
        <v>19</v>
      </c>
      <c r="D578" s="3" t="str">
        <f>"605 / 2013"</f>
        <v>605 / 2013</v>
      </c>
      <c r="E578" s="4">
        <v>41528</v>
      </c>
      <c r="F578" s="3" t="s">
        <v>1328</v>
      </c>
      <c r="G578" s="5"/>
      <c r="H578" s="3" t="s">
        <v>1329</v>
      </c>
      <c r="I578" s="3" t="str">
        <f t="shared" si="40"/>
        <v>20 / 11-09-2013</v>
      </c>
      <c r="J578" s="4">
        <v>41528</v>
      </c>
      <c r="K578" s="6">
        <v>0.79166666666666663</v>
      </c>
      <c r="L578" s="3">
        <v>2</v>
      </c>
      <c r="M578" s="3" t="s">
        <v>72</v>
      </c>
      <c r="N578" s="3" t="s">
        <v>72</v>
      </c>
      <c r="O578" s="5"/>
      <c r="P578" s="3" t="s">
        <v>22</v>
      </c>
      <c r="Q578" s="7"/>
      <c r="R578" s="7"/>
    </row>
    <row r="579" spans="1:18" ht="204" x14ac:dyDescent="0.25">
      <c r="A579" s="3" t="s">
        <v>18</v>
      </c>
      <c r="B579" s="3">
        <v>2013</v>
      </c>
      <c r="C579" s="3" t="s">
        <v>19</v>
      </c>
      <c r="D579" s="3" t="str">
        <f>"606 / 2013"</f>
        <v>606 / 2013</v>
      </c>
      <c r="E579" s="4">
        <v>41540</v>
      </c>
      <c r="F579" s="3" t="s">
        <v>1330</v>
      </c>
      <c r="G579" s="5"/>
      <c r="H579" s="3" t="s">
        <v>1331</v>
      </c>
      <c r="I579" s="3" t="str">
        <f t="shared" si="40"/>
        <v>20 / 11-09-2013</v>
      </c>
      <c r="J579" s="4">
        <v>41528</v>
      </c>
      <c r="K579" s="6">
        <v>0.79166666666666663</v>
      </c>
      <c r="L579" s="3">
        <v>3</v>
      </c>
      <c r="M579" s="3" t="s">
        <v>132</v>
      </c>
      <c r="N579" s="3" t="s">
        <v>132</v>
      </c>
      <c r="O579" s="5"/>
      <c r="P579" s="3" t="s">
        <v>22</v>
      </c>
      <c r="Q579" s="7"/>
      <c r="R579" s="7"/>
    </row>
    <row r="580" spans="1:18" ht="89.25" x14ac:dyDescent="0.25">
      <c r="A580" s="3" t="s">
        <v>18</v>
      </c>
      <c r="B580" s="3">
        <v>2013</v>
      </c>
      <c r="C580" s="3" t="s">
        <v>19</v>
      </c>
      <c r="D580" s="3" t="str">
        <f>"607 / 2013"</f>
        <v>607 / 2013</v>
      </c>
      <c r="E580" s="4">
        <v>41534</v>
      </c>
      <c r="F580" s="3" t="s">
        <v>1332</v>
      </c>
      <c r="G580" s="5"/>
      <c r="H580" s="3" t="s">
        <v>1333</v>
      </c>
      <c r="I580" s="3" t="str">
        <f t="shared" si="40"/>
        <v>20 / 11-09-2013</v>
      </c>
      <c r="J580" s="4">
        <v>41528</v>
      </c>
      <c r="K580" s="6">
        <v>0.79166666666666663</v>
      </c>
      <c r="L580" s="3">
        <v>4</v>
      </c>
      <c r="M580" s="3" t="s">
        <v>330</v>
      </c>
      <c r="N580" s="3" t="s">
        <v>330</v>
      </c>
      <c r="O580" s="5"/>
      <c r="P580" s="3" t="s">
        <v>22</v>
      </c>
      <c r="Q580" s="7"/>
      <c r="R580" s="7"/>
    </row>
    <row r="581" spans="1:18" ht="89.25" x14ac:dyDescent="0.25">
      <c r="A581" s="3" t="s">
        <v>18</v>
      </c>
      <c r="B581" s="3">
        <v>2013</v>
      </c>
      <c r="C581" s="3" t="s">
        <v>19</v>
      </c>
      <c r="D581" s="3" t="str">
        <f>"608 / 2013"</f>
        <v>608 / 2013</v>
      </c>
      <c r="E581" s="4">
        <v>41537</v>
      </c>
      <c r="F581" s="3" t="s">
        <v>1334</v>
      </c>
      <c r="G581" s="5"/>
      <c r="H581" s="3" t="s">
        <v>1335</v>
      </c>
      <c r="I581" s="3" t="str">
        <f t="shared" si="40"/>
        <v>20 / 11-09-2013</v>
      </c>
      <c r="J581" s="4">
        <v>41528</v>
      </c>
      <c r="K581" s="6">
        <v>0.79166666666666663</v>
      </c>
      <c r="L581" s="3">
        <v>5</v>
      </c>
      <c r="M581" s="3" t="s">
        <v>324</v>
      </c>
      <c r="N581" s="3" t="s">
        <v>324</v>
      </c>
      <c r="O581" s="5"/>
      <c r="P581" s="3" t="s">
        <v>22</v>
      </c>
      <c r="Q581" s="7"/>
      <c r="R581" s="7"/>
    </row>
    <row r="582" spans="1:18" ht="76.5" x14ac:dyDescent="0.25">
      <c r="A582" s="3" t="s">
        <v>18</v>
      </c>
      <c r="B582" s="3">
        <v>2013</v>
      </c>
      <c r="C582" s="3" t="s">
        <v>19</v>
      </c>
      <c r="D582" s="3" t="str">
        <f>"609 / 2013"</f>
        <v>609 / 2013</v>
      </c>
      <c r="E582" s="4">
        <v>41529</v>
      </c>
      <c r="F582" s="3" t="s">
        <v>1336</v>
      </c>
      <c r="G582" s="5"/>
      <c r="H582" s="3" t="s">
        <v>1337</v>
      </c>
      <c r="I582" s="3" t="str">
        <f t="shared" si="40"/>
        <v>20 / 11-09-2013</v>
      </c>
      <c r="J582" s="4">
        <v>41528</v>
      </c>
      <c r="K582" s="6">
        <v>0.79166666666666663</v>
      </c>
      <c r="L582" s="3">
        <v>6</v>
      </c>
      <c r="M582" s="3" t="s">
        <v>754</v>
      </c>
      <c r="N582" s="3" t="s">
        <v>754</v>
      </c>
      <c r="O582" s="5"/>
      <c r="P582" s="3" t="s">
        <v>22</v>
      </c>
      <c r="Q582" s="7"/>
      <c r="R582" s="7"/>
    </row>
    <row r="583" spans="1:18" ht="63.75" x14ac:dyDescent="0.25">
      <c r="A583" s="3" t="s">
        <v>18</v>
      </c>
      <c r="B583" s="3">
        <v>2013</v>
      </c>
      <c r="C583" s="3" t="s">
        <v>19</v>
      </c>
      <c r="D583" s="3" t="str">
        <f>"61/2013"</f>
        <v>61/2013</v>
      </c>
      <c r="E583" s="4">
        <v>41325</v>
      </c>
      <c r="F583" s="3" t="s">
        <v>1338</v>
      </c>
      <c r="G583" s="5"/>
      <c r="H583" s="3" t="s">
        <v>1339</v>
      </c>
      <c r="I583" s="3" t="str">
        <f>"5/20/02/2013"</f>
        <v>5/20/02/2013</v>
      </c>
      <c r="J583" s="4">
        <v>41325</v>
      </c>
      <c r="K583" s="6">
        <v>0.79166666666666663</v>
      </c>
      <c r="L583" s="3">
        <v>12</v>
      </c>
      <c r="M583" s="3" t="s">
        <v>53</v>
      </c>
      <c r="N583" s="3" t="s">
        <v>53</v>
      </c>
      <c r="O583" s="5"/>
      <c r="P583" s="3" t="s">
        <v>22</v>
      </c>
      <c r="Q583" s="7"/>
      <c r="R583" s="7"/>
    </row>
    <row r="584" spans="1:18" ht="114.75" x14ac:dyDescent="0.25">
      <c r="A584" s="3" t="s">
        <v>18</v>
      </c>
      <c r="B584" s="3">
        <v>2013</v>
      </c>
      <c r="C584" s="3" t="s">
        <v>19</v>
      </c>
      <c r="D584" s="3" t="str">
        <f>"610 / 2013"</f>
        <v>610 / 2013</v>
      </c>
      <c r="E584" s="4">
        <v>41540</v>
      </c>
      <c r="F584" s="3" t="s">
        <v>1340</v>
      </c>
      <c r="G584" s="5"/>
      <c r="H584" s="3" t="s">
        <v>1341</v>
      </c>
      <c r="I584" s="3" t="str">
        <f t="shared" ref="I584:I593" si="41">"20 / 11-09-2013"</f>
        <v>20 / 11-09-2013</v>
      </c>
      <c r="J584" s="4">
        <v>41528</v>
      </c>
      <c r="K584" s="6">
        <v>0.79166666666666663</v>
      </c>
      <c r="L584" s="3">
        <v>8</v>
      </c>
      <c r="M584" s="3" t="s">
        <v>784</v>
      </c>
      <c r="N584" s="3" t="s">
        <v>784</v>
      </c>
      <c r="O584" s="5"/>
      <c r="P584" s="3" t="s">
        <v>22</v>
      </c>
      <c r="Q584" s="7"/>
      <c r="R584" s="7"/>
    </row>
    <row r="585" spans="1:18" ht="51" x14ac:dyDescent="0.25">
      <c r="A585" s="3" t="s">
        <v>18</v>
      </c>
      <c r="B585" s="3">
        <v>2013</v>
      </c>
      <c r="C585" s="3" t="s">
        <v>19</v>
      </c>
      <c r="D585" s="3" t="str">
        <f>"611 / 2013"</f>
        <v>611 / 2013</v>
      </c>
      <c r="E585" s="4">
        <v>41541</v>
      </c>
      <c r="F585" s="3" t="s">
        <v>1342</v>
      </c>
      <c r="G585" s="5"/>
      <c r="H585" s="3" t="s">
        <v>1343</v>
      </c>
      <c r="I585" s="3" t="str">
        <f t="shared" si="41"/>
        <v>20 / 11-09-2013</v>
      </c>
      <c r="J585" s="4">
        <v>41528</v>
      </c>
      <c r="K585" s="6">
        <v>0.79166666666666663</v>
      </c>
      <c r="L585" s="3">
        <v>9</v>
      </c>
      <c r="M585" s="3" t="s">
        <v>1344</v>
      </c>
      <c r="N585" s="3" t="s">
        <v>1344</v>
      </c>
      <c r="O585" s="5"/>
      <c r="P585" s="3" t="s">
        <v>22</v>
      </c>
      <c r="Q585" s="7"/>
      <c r="R585" s="7"/>
    </row>
    <row r="586" spans="1:18" ht="114.75" x14ac:dyDescent="0.25">
      <c r="A586" s="3" t="s">
        <v>18</v>
      </c>
      <c r="B586" s="3">
        <v>2013</v>
      </c>
      <c r="C586" s="3" t="s">
        <v>19</v>
      </c>
      <c r="D586" s="3" t="str">
        <f>"612 / 2013"</f>
        <v>612 / 2013</v>
      </c>
      <c r="E586" s="4">
        <v>41537</v>
      </c>
      <c r="F586" s="3" t="s">
        <v>1345</v>
      </c>
      <c r="G586" s="5"/>
      <c r="H586" s="3" t="s">
        <v>1346</v>
      </c>
      <c r="I586" s="3" t="str">
        <f t="shared" si="41"/>
        <v>20 / 11-09-2013</v>
      </c>
      <c r="J586" s="4">
        <v>41528</v>
      </c>
      <c r="K586" s="6">
        <v>0.79166666666666663</v>
      </c>
      <c r="L586" s="3">
        <v>10</v>
      </c>
      <c r="M586" s="3" t="s">
        <v>330</v>
      </c>
      <c r="N586" s="3" t="s">
        <v>330</v>
      </c>
      <c r="O586" s="5"/>
      <c r="P586" s="3" t="s">
        <v>22</v>
      </c>
      <c r="Q586" s="7"/>
      <c r="R586" s="7"/>
    </row>
    <row r="587" spans="1:18" ht="76.5" x14ac:dyDescent="0.25">
      <c r="A587" s="3" t="s">
        <v>18</v>
      </c>
      <c r="B587" s="3">
        <v>2013</v>
      </c>
      <c r="C587" s="3" t="s">
        <v>19</v>
      </c>
      <c r="D587" s="3" t="str">
        <f>"613 / 2013"</f>
        <v>613 / 2013</v>
      </c>
      <c r="E587" s="4">
        <v>41540</v>
      </c>
      <c r="F587" s="3" t="s">
        <v>1347</v>
      </c>
      <c r="G587" s="5"/>
      <c r="H587" s="3" t="s">
        <v>1348</v>
      </c>
      <c r="I587" s="3" t="str">
        <f t="shared" si="41"/>
        <v>20 / 11-09-2013</v>
      </c>
      <c r="J587" s="4">
        <v>41528</v>
      </c>
      <c r="K587" s="6">
        <v>0.79166666666666663</v>
      </c>
      <c r="L587" s="3">
        <v>11</v>
      </c>
      <c r="M587" s="3" t="s">
        <v>408</v>
      </c>
      <c r="N587" s="3" t="s">
        <v>408</v>
      </c>
      <c r="O587" s="5"/>
      <c r="P587" s="3" t="s">
        <v>22</v>
      </c>
      <c r="Q587" s="7"/>
      <c r="R587" s="7"/>
    </row>
    <row r="588" spans="1:18" ht="76.5" x14ac:dyDescent="0.25">
      <c r="A588" s="3" t="s">
        <v>18</v>
      </c>
      <c r="B588" s="3">
        <v>2013</v>
      </c>
      <c r="C588" s="3" t="s">
        <v>19</v>
      </c>
      <c r="D588" s="3" t="str">
        <f>"614 / 2013"</f>
        <v>614 / 2013</v>
      </c>
      <c r="E588" s="4">
        <v>41530</v>
      </c>
      <c r="F588" s="3" t="s">
        <v>1349</v>
      </c>
      <c r="G588" s="5"/>
      <c r="H588" s="3" t="s">
        <v>1350</v>
      </c>
      <c r="I588" s="3" t="str">
        <f t="shared" si="41"/>
        <v>20 / 11-09-2013</v>
      </c>
      <c r="J588" s="4">
        <v>41528</v>
      </c>
      <c r="K588" s="6">
        <v>0.79166666666666663</v>
      </c>
      <c r="L588" s="3">
        <v>12</v>
      </c>
      <c r="M588" s="3" t="s">
        <v>352</v>
      </c>
      <c r="N588" s="3" t="s">
        <v>352</v>
      </c>
      <c r="O588" s="5"/>
      <c r="P588" s="3" t="s">
        <v>22</v>
      </c>
      <c r="Q588" s="7"/>
      <c r="R588" s="7"/>
    </row>
    <row r="589" spans="1:18" ht="51" x14ac:dyDescent="0.25">
      <c r="A589" s="3" t="s">
        <v>18</v>
      </c>
      <c r="B589" s="3">
        <v>2013</v>
      </c>
      <c r="C589" s="3" t="s">
        <v>19</v>
      </c>
      <c r="D589" s="3" t="str">
        <f>"615 / 2013"</f>
        <v>615 / 2013</v>
      </c>
      <c r="E589" s="4">
        <v>41529</v>
      </c>
      <c r="F589" s="3" t="s">
        <v>1351</v>
      </c>
      <c r="G589" s="5"/>
      <c r="H589" s="3" t="s">
        <v>460</v>
      </c>
      <c r="I589" s="3" t="str">
        <f t="shared" si="41"/>
        <v>20 / 11-09-2013</v>
      </c>
      <c r="J589" s="4">
        <v>41528</v>
      </c>
      <c r="K589" s="6">
        <v>0.79166666666666663</v>
      </c>
      <c r="L589" s="3">
        <v>13</v>
      </c>
      <c r="M589" s="3" t="s">
        <v>56</v>
      </c>
      <c r="N589" s="3" t="s">
        <v>56</v>
      </c>
      <c r="O589" s="5"/>
      <c r="P589" s="3" t="s">
        <v>22</v>
      </c>
      <c r="Q589" s="7"/>
      <c r="R589" s="7"/>
    </row>
    <row r="590" spans="1:18" ht="102" x14ac:dyDescent="0.25">
      <c r="A590" s="3" t="s">
        <v>18</v>
      </c>
      <c r="B590" s="3">
        <v>2013</v>
      </c>
      <c r="C590" s="3" t="s">
        <v>19</v>
      </c>
      <c r="D590" s="3" t="str">
        <f>"616 / 2013"</f>
        <v>616 / 2013</v>
      </c>
      <c r="E590" s="4">
        <v>41536</v>
      </c>
      <c r="F590" s="3" t="s">
        <v>1352</v>
      </c>
      <c r="G590" s="5"/>
      <c r="H590" s="3" t="s">
        <v>1353</v>
      </c>
      <c r="I590" s="3" t="str">
        <f t="shared" si="41"/>
        <v>20 / 11-09-2013</v>
      </c>
      <c r="J590" s="4">
        <v>41528</v>
      </c>
      <c r="K590" s="6">
        <v>0.79166666666666663</v>
      </c>
      <c r="L590" s="3">
        <v>14</v>
      </c>
      <c r="M590" s="3" t="s">
        <v>804</v>
      </c>
      <c r="N590" s="3" t="s">
        <v>804</v>
      </c>
      <c r="O590" s="5"/>
      <c r="P590" s="3" t="s">
        <v>22</v>
      </c>
      <c r="Q590" s="7"/>
      <c r="R590" s="7"/>
    </row>
    <row r="591" spans="1:18" ht="51" x14ac:dyDescent="0.25">
      <c r="A591" s="3" t="s">
        <v>18</v>
      </c>
      <c r="B591" s="3">
        <v>2013</v>
      </c>
      <c r="C591" s="3" t="s">
        <v>19</v>
      </c>
      <c r="D591" s="3" t="str">
        <f>"617 / 2013"</f>
        <v>617 / 2013</v>
      </c>
      <c r="E591" s="4">
        <v>41529</v>
      </c>
      <c r="F591" s="3" t="s">
        <v>1354</v>
      </c>
      <c r="G591" s="5"/>
      <c r="H591" s="3" t="s">
        <v>1355</v>
      </c>
      <c r="I591" s="3" t="str">
        <f t="shared" si="41"/>
        <v>20 / 11-09-2013</v>
      </c>
      <c r="J591" s="4">
        <v>41528</v>
      </c>
      <c r="K591" s="6">
        <v>0.79166666666666663</v>
      </c>
      <c r="L591" s="3">
        <v>15</v>
      </c>
      <c r="M591" s="3" t="s">
        <v>32</v>
      </c>
      <c r="N591" s="3" t="s">
        <v>32</v>
      </c>
      <c r="O591" s="5"/>
      <c r="P591" s="3" t="s">
        <v>22</v>
      </c>
      <c r="Q591" s="7"/>
      <c r="R591" s="7"/>
    </row>
    <row r="592" spans="1:18" ht="76.5" x14ac:dyDescent="0.25">
      <c r="A592" s="3" t="s">
        <v>18</v>
      </c>
      <c r="B592" s="3">
        <v>2013</v>
      </c>
      <c r="C592" s="3" t="s">
        <v>19</v>
      </c>
      <c r="D592" s="3" t="str">
        <f>"618 / 2013"</f>
        <v>618 / 2013</v>
      </c>
      <c r="E592" s="4">
        <v>41536</v>
      </c>
      <c r="F592" s="3" t="s">
        <v>1356</v>
      </c>
      <c r="G592" s="5"/>
      <c r="H592" s="3" t="s">
        <v>1357</v>
      </c>
      <c r="I592" s="3" t="str">
        <f t="shared" si="41"/>
        <v>20 / 11-09-2013</v>
      </c>
      <c r="J592" s="4">
        <v>41528</v>
      </c>
      <c r="K592" s="6">
        <v>0.79166666666666663</v>
      </c>
      <c r="L592" s="3">
        <v>16</v>
      </c>
      <c r="M592" s="3" t="s">
        <v>132</v>
      </c>
      <c r="N592" s="3" t="s">
        <v>132</v>
      </c>
      <c r="O592" s="5"/>
      <c r="P592" s="3" t="s">
        <v>22</v>
      </c>
      <c r="Q592" s="7"/>
      <c r="R592" s="7"/>
    </row>
    <row r="593" spans="1:18" ht="63.75" x14ac:dyDescent="0.25">
      <c r="A593" s="3" t="s">
        <v>18</v>
      </c>
      <c r="B593" s="3">
        <v>2013</v>
      </c>
      <c r="C593" s="3" t="s">
        <v>19</v>
      </c>
      <c r="D593" s="3" t="str">
        <f>"619 / 2013"</f>
        <v>619 / 2013</v>
      </c>
      <c r="E593" s="4">
        <v>41536</v>
      </c>
      <c r="F593" s="3" t="s">
        <v>1358</v>
      </c>
      <c r="G593" s="5"/>
      <c r="H593" s="3" t="s">
        <v>1359</v>
      </c>
      <c r="I593" s="3" t="str">
        <f t="shared" si="41"/>
        <v>20 / 11-09-2013</v>
      </c>
      <c r="J593" s="4">
        <v>41528</v>
      </c>
      <c r="K593" s="6">
        <v>0.79166666666666663</v>
      </c>
      <c r="L593" s="3">
        <v>20</v>
      </c>
      <c r="M593" s="3" t="s">
        <v>132</v>
      </c>
      <c r="N593" s="3" t="s">
        <v>132</v>
      </c>
      <c r="O593" s="5"/>
      <c r="P593" s="3" t="s">
        <v>22</v>
      </c>
      <c r="Q593" s="7"/>
      <c r="R593" s="7"/>
    </row>
    <row r="594" spans="1:18" ht="63.75" x14ac:dyDescent="0.25">
      <c r="A594" s="3" t="s">
        <v>18</v>
      </c>
      <c r="B594" s="3">
        <v>2013</v>
      </c>
      <c r="C594" s="3" t="s">
        <v>19</v>
      </c>
      <c r="D594" s="3" t="str">
        <f>"62/2013"</f>
        <v>62/2013</v>
      </c>
      <c r="E594" s="4">
        <v>41325</v>
      </c>
      <c r="F594" s="3" t="s">
        <v>1360</v>
      </c>
      <c r="G594" s="5"/>
      <c r="H594" s="3" t="s">
        <v>1361</v>
      </c>
      <c r="I594" s="3" t="str">
        <f>"5/20-02-2013"</f>
        <v>5/20-02-2013</v>
      </c>
      <c r="J594" s="4">
        <v>41325</v>
      </c>
      <c r="K594" s="6">
        <v>0.79166666666666663</v>
      </c>
      <c r="L594" s="3">
        <v>12</v>
      </c>
      <c r="M594" s="3" t="s">
        <v>53</v>
      </c>
      <c r="N594" s="3" t="s">
        <v>53</v>
      </c>
      <c r="O594" s="5"/>
      <c r="P594" s="3" t="s">
        <v>22</v>
      </c>
      <c r="Q594" s="7"/>
      <c r="R594" s="7"/>
    </row>
    <row r="595" spans="1:18" ht="63.75" x14ac:dyDescent="0.25">
      <c r="A595" s="3" t="s">
        <v>18</v>
      </c>
      <c r="B595" s="3">
        <v>2013</v>
      </c>
      <c r="C595" s="3" t="s">
        <v>19</v>
      </c>
      <c r="D595" s="3" t="str">
        <f>"620 / 2013"</f>
        <v>620 / 2013</v>
      </c>
      <c r="E595" s="4">
        <v>41536</v>
      </c>
      <c r="F595" s="3" t="s">
        <v>1362</v>
      </c>
      <c r="G595" s="5"/>
      <c r="H595" s="3" t="s">
        <v>1363</v>
      </c>
      <c r="I595" s="3" t="str">
        <f>"20 / 11-09-2013"</f>
        <v>20 / 11-09-2013</v>
      </c>
      <c r="J595" s="4">
        <v>41528</v>
      </c>
      <c r="K595" s="6">
        <v>0.79166666666666663</v>
      </c>
      <c r="L595" s="3">
        <v>16</v>
      </c>
      <c r="M595" s="3" t="s">
        <v>132</v>
      </c>
      <c r="N595" s="3" t="s">
        <v>132</v>
      </c>
      <c r="O595" s="5"/>
      <c r="P595" s="3" t="s">
        <v>22</v>
      </c>
      <c r="Q595" s="7"/>
      <c r="R595" s="7"/>
    </row>
    <row r="596" spans="1:18" ht="51" x14ac:dyDescent="0.25">
      <c r="A596" s="3" t="s">
        <v>18</v>
      </c>
      <c r="B596" s="3">
        <v>2013</v>
      </c>
      <c r="C596" s="3" t="s">
        <v>19</v>
      </c>
      <c r="D596" s="3" t="str">
        <f>"621 / 2013"</f>
        <v>621 / 2013</v>
      </c>
      <c r="E596" s="4">
        <v>41536</v>
      </c>
      <c r="F596" s="3" t="s">
        <v>1364</v>
      </c>
      <c r="G596" s="5"/>
      <c r="H596" s="3" t="s">
        <v>1365</v>
      </c>
      <c r="I596" s="3" t="str">
        <f>"20 / 11-09-2013"</f>
        <v>20 / 11-09-2013</v>
      </c>
      <c r="J596" s="4">
        <v>41528</v>
      </c>
      <c r="K596" s="6">
        <v>0.79166666666666663</v>
      </c>
      <c r="L596" s="3">
        <v>16</v>
      </c>
      <c r="M596" s="3" t="s">
        <v>132</v>
      </c>
      <c r="N596" s="3" t="s">
        <v>132</v>
      </c>
      <c r="O596" s="5"/>
      <c r="P596" s="3" t="s">
        <v>22</v>
      </c>
      <c r="Q596" s="7"/>
      <c r="R596" s="7"/>
    </row>
    <row r="597" spans="1:18" ht="51" x14ac:dyDescent="0.25">
      <c r="A597" s="3" t="s">
        <v>18</v>
      </c>
      <c r="B597" s="3">
        <v>2013</v>
      </c>
      <c r="C597" s="3" t="s">
        <v>19</v>
      </c>
      <c r="D597" s="3" t="str">
        <f>"622 / 2013"</f>
        <v>622 / 2013</v>
      </c>
      <c r="E597" s="4">
        <v>41530</v>
      </c>
      <c r="F597" s="3" t="s">
        <v>1366</v>
      </c>
      <c r="G597" s="5"/>
      <c r="H597" s="3" t="s">
        <v>1367</v>
      </c>
      <c r="I597" s="3" t="str">
        <f>"20 / 11-09-2013"</f>
        <v>20 / 11-09-2013</v>
      </c>
      <c r="J597" s="4">
        <v>41528</v>
      </c>
      <c r="K597" s="6">
        <v>0.79166666666666663</v>
      </c>
      <c r="L597" s="5"/>
      <c r="M597" s="3" t="s">
        <v>1368</v>
      </c>
      <c r="N597" s="3" t="s">
        <v>25</v>
      </c>
      <c r="O597" s="5"/>
      <c r="P597" s="3" t="s">
        <v>74</v>
      </c>
      <c r="Q597" s="7"/>
      <c r="R597" s="7"/>
    </row>
    <row r="598" spans="1:18" ht="76.5" x14ac:dyDescent="0.25">
      <c r="A598" s="3" t="s">
        <v>18</v>
      </c>
      <c r="B598" s="3">
        <v>2013</v>
      </c>
      <c r="C598" s="3" t="s">
        <v>19</v>
      </c>
      <c r="D598" s="3" t="str">
        <f>"623 / 2013"</f>
        <v>623 / 2013</v>
      </c>
      <c r="E598" s="4">
        <v>41529</v>
      </c>
      <c r="F598" s="3" t="s">
        <v>1369</v>
      </c>
      <c r="G598" s="5"/>
      <c r="H598" s="3" t="s">
        <v>1370</v>
      </c>
      <c r="I598" s="3" t="str">
        <f>"20 / 11-09-2013"</f>
        <v>20 / 11-09-2013</v>
      </c>
      <c r="J598" s="4">
        <v>41528</v>
      </c>
      <c r="K598" s="6">
        <v>0.79166666666666663</v>
      </c>
      <c r="L598" s="5"/>
      <c r="M598" s="3" t="s">
        <v>1240</v>
      </c>
      <c r="N598" s="3" t="s">
        <v>1240</v>
      </c>
      <c r="O598" s="5"/>
      <c r="P598" s="3" t="s">
        <v>74</v>
      </c>
      <c r="Q598" s="7"/>
      <c r="R598" s="7"/>
    </row>
    <row r="599" spans="1:18" ht="63.75" x14ac:dyDescent="0.25">
      <c r="A599" s="3" t="s">
        <v>18</v>
      </c>
      <c r="B599" s="3">
        <v>2013</v>
      </c>
      <c r="C599" s="3" t="s">
        <v>19</v>
      </c>
      <c r="D599" s="3" t="str">
        <f>"624 / 2013"</f>
        <v>624 / 2013</v>
      </c>
      <c r="E599" s="4">
        <v>41543</v>
      </c>
      <c r="F599" s="3" t="s">
        <v>1371</v>
      </c>
      <c r="G599" s="5"/>
      <c r="H599" s="3" t="s">
        <v>1372</v>
      </c>
      <c r="I599" s="3" t="str">
        <f t="shared" ref="I599:I604" si="42">"21 / 25-09-2013"</f>
        <v>21 / 25-09-2013</v>
      </c>
      <c r="J599" s="4">
        <v>41542</v>
      </c>
      <c r="K599" s="6">
        <v>0.79166666666666663</v>
      </c>
      <c r="L599" s="3">
        <v>1</v>
      </c>
      <c r="M599" s="3" t="s">
        <v>50</v>
      </c>
      <c r="N599" s="3" t="s">
        <v>50</v>
      </c>
      <c r="O599" s="5"/>
      <c r="P599" s="3" t="s">
        <v>22</v>
      </c>
      <c r="Q599" s="7"/>
      <c r="R599" s="7"/>
    </row>
    <row r="600" spans="1:18" ht="204" x14ac:dyDescent="0.25">
      <c r="A600" s="3" t="s">
        <v>18</v>
      </c>
      <c r="B600" s="3">
        <v>2013</v>
      </c>
      <c r="C600" s="3" t="s">
        <v>19</v>
      </c>
      <c r="D600" s="3" t="str">
        <f>"625 / 2013"</f>
        <v>625 / 2013</v>
      </c>
      <c r="E600" s="4">
        <v>41551</v>
      </c>
      <c r="F600" s="3" t="s">
        <v>1373</v>
      </c>
      <c r="G600" s="5"/>
      <c r="H600" s="3" t="s">
        <v>1374</v>
      </c>
      <c r="I600" s="3" t="str">
        <f t="shared" si="42"/>
        <v>21 / 25-09-2013</v>
      </c>
      <c r="J600" s="4">
        <v>41542</v>
      </c>
      <c r="K600" s="6">
        <v>0.79166666666666663</v>
      </c>
      <c r="L600" s="3">
        <v>2</v>
      </c>
      <c r="M600" s="3" t="s">
        <v>324</v>
      </c>
      <c r="N600" s="3" t="s">
        <v>324</v>
      </c>
      <c r="O600" s="5"/>
      <c r="P600" s="3" t="s">
        <v>22</v>
      </c>
      <c r="Q600" s="7"/>
      <c r="R600" s="7"/>
    </row>
    <row r="601" spans="1:18" ht="178.5" x14ac:dyDescent="0.25">
      <c r="A601" s="3" t="s">
        <v>18</v>
      </c>
      <c r="B601" s="3">
        <v>2013</v>
      </c>
      <c r="C601" s="3" t="s">
        <v>19</v>
      </c>
      <c r="D601" s="3" t="str">
        <f>"626 / 2013"</f>
        <v>626 / 2013</v>
      </c>
      <c r="E601" s="4">
        <v>41548</v>
      </c>
      <c r="F601" s="3" t="s">
        <v>1375</v>
      </c>
      <c r="G601" s="5"/>
      <c r="H601" s="3" t="s">
        <v>1376</v>
      </c>
      <c r="I601" s="3" t="str">
        <f t="shared" si="42"/>
        <v>21 / 25-09-2013</v>
      </c>
      <c r="J601" s="4">
        <v>41542</v>
      </c>
      <c r="K601" s="6">
        <v>0.79166666666666663</v>
      </c>
      <c r="L601" s="3">
        <v>3</v>
      </c>
      <c r="M601" s="3" t="s">
        <v>324</v>
      </c>
      <c r="N601" s="3" t="s">
        <v>324</v>
      </c>
      <c r="O601" s="5"/>
      <c r="P601" s="3" t="s">
        <v>22</v>
      </c>
      <c r="Q601" s="7"/>
      <c r="R601" s="7"/>
    </row>
    <row r="602" spans="1:18" ht="153" x14ac:dyDescent="0.25">
      <c r="A602" s="3" t="s">
        <v>18</v>
      </c>
      <c r="B602" s="3">
        <v>2013</v>
      </c>
      <c r="C602" s="3" t="s">
        <v>19</v>
      </c>
      <c r="D602" s="3" t="str">
        <f>"627 / 2013"</f>
        <v>627 / 2013</v>
      </c>
      <c r="E602" s="4">
        <v>41551</v>
      </c>
      <c r="F602" s="3" t="s">
        <v>1377</v>
      </c>
      <c r="G602" s="5"/>
      <c r="H602" s="3" t="s">
        <v>1378</v>
      </c>
      <c r="I602" s="3" t="str">
        <f t="shared" si="42"/>
        <v>21 / 25-09-2013</v>
      </c>
      <c r="J602" s="4">
        <v>41542</v>
      </c>
      <c r="K602" s="6">
        <v>0.79166666666666663</v>
      </c>
      <c r="L602" s="3">
        <v>4</v>
      </c>
      <c r="M602" s="3" t="s">
        <v>324</v>
      </c>
      <c r="N602" s="3" t="s">
        <v>324</v>
      </c>
      <c r="O602" s="5"/>
      <c r="P602" s="3" t="s">
        <v>22</v>
      </c>
      <c r="Q602" s="7"/>
      <c r="R602" s="7"/>
    </row>
    <row r="603" spans="1:18" ht="216.75" x14ac:dyDescent="0.25">
      <c r="A603" s="3" t="s">
        <v>18</v>
      </c>
      <c r="B603" s="3">
        <v>2013</v>
      </c>
      <c r="C603" s="3" t="s">
        <v>19</v>
      </c>
      <c r="D603" s="3" t="str">
        <f>"628 / 2013"</f>
        <v>628 / 2013</v>
      </c>
      <c r="E603" s="4">
        <v>41550</v>
      </c>
      <c r="F603" s="3" t="s">
        <v>1379</v>
      </c>
      <c r="G603" s="5"/>
      <c r="H603" s="3" t="s">
        <v>1380</v>
      </c>
      <c r="I603" s="3" t="str">
        <f t="shared" si="42"/>
        <v>21 / 25-09-2013</v>
      </c>
      <c r="J603" s="4">
        <v>41542</v>
      </c>
      <c r="K603" s="6">
        <v>0.79166666666666663</v>
      </c>
      <c r="L603" s="3">
        <v>5</v>
      </c>
      <c r="M603" s="3" t="s">
        <v>132</v>
      </c>
      <c r="N603" s="3" t="s">
        <v>132</v>
      </c>
      <c r="O603" s="5"/>
      <c r="P603" s="3" t="s">
        <v>22</v>
      </c>
      <c r="Q603" s="7"/>
      <c r="R603" s="7"/>
    </row>
    <row r="604" spans="1:18" ht="102" x14ac:dyDescent="0.25">
      <c r="A604" s="3" t="s">
        <v>18</v>
      </c>
      <c r="B604" s="3">
        <v>2013</v>
      </c>
      <c r="C604" s="3" t="s">
        <v>19</v>
      </c>
      <c r="D604" s="3" t="str">
        <f>"629 / 2013"</f>
        <v>629 / 2013</v>
      </c>
      <c r="E604" s="4">
        <v>41544</v>
      </c>
      <c r="F604" s="3" t="s">
        <v>1381</v>
      </c>
      <c r="G604" s="5"/>
      <c r="H604" s="3" t="s">
        <v>1382</v>
      </c>
      <c r="I604" s="3" t="str">
        <f t="shared" si="42"/>
        <v>21 / 25-09-2013</v>
      </c>
      <c r="J604" s="4">
        <v>41542</v>
      </c>
      <c r="K604" s="6">
        <v>0.79166666666666663</v>
      </c>
      <c r="L604" s="3">
        <v>6</v>
      </c>
      <c r="M604" s="3" t="s">
        <v>355</v>
      </c>
      <c r="N604" s="3" t="s">
        <v>355</v>
      </c>
      <c r="O604" s="5"/>
      <c r="P604" s="3" t="s">
        <v>22</v>
      </c>
      <c r="Q604" s="7"/>
      <c r="R604" s="7"/>
    </row>
    <row r="605" spans="1:18" ht="89.25" x14ac:dyDescent="0.25">
      <c r="A605" s="3" t="s">
        <v>18</v>
      </c>
      <c r="B605" s="3">
        <v>2013</v>
      </c>
      <c r="C605" s="3" t="s">
        <v>19</v>
      </c>
      <c r="D605" s="3" t="str">
        <f>"63/2013"</f>
        <v>63/2013</v>
      </c>
      <c r="E605" s="4">
        <v>41325</v>
      </c>
      <c r="F605" s="3" t="s">
        <v>1383</v>
      </c>
      <c r="G605" s="5"/>
      <c r="H605" s="3" t="s">
        <v>1384</v>
      </c>
      <c r="I605" s="3" t="str">
        <f>"5/20-02-2013"</f>
        <v>5/20-02-2013</v>
      </c>
      <c r="J605" s="4">
        <v>41325</v>
      </c>
      <c r="K605" s="6">
        <v>0.79166666666666663</v>
      </c>
      <c r="L605" s="3">
        <v>13</v>
      </c>
      <c r="M605" s="3" t="s">
        <v>1385</v>
      </c>
      <c r="N605" s="3" t="s">
        <v>1385</v>
      </c>
      <c r="O605" s="5"/>
      <c r="P605" s="3" t="s">
        <v>22</v>
      </c>
      <c r="Q605" s="7"/>
      <c r="R605" s="7"/>
    </row>
    <row r="606" spans="1:18" ht="102" x14ac:dyDescent="0.25">
      <c r="A606" s="3" t="s">
        <v>18</v>
      </c>
      <c r="B606" s="3">
        <v>2013</v>
      </c>
      <c r="C606" s="3" t="s">
        <v>19</v>
      </c>
      <c r="D606" s="3" t="str">
        <f>"630 / 2013"</f>
        <v>630 / 2013</v>
      </c>
      <c r="E606" s="4">
        <v>41544</v>
      </c>
      <c r="F606" s="3" t="s">
        <v>1386</v>
      </c>
      <c r="G606" s="5"/>
      <c r="H606" s="3" t="s">
        <v>1387</v>
      </c>
      <c r="I606" s="3" t="str">
        <f t="shared" ref="I606:I615" si="43">"21 / 25-09-2013"</f>
        <v>21 / 25-09-2013</v>
      </c>
      <c r="J606" s="4">
        <v>41542</v>
      </c>
      <c r="K606" s="6">
        <v>0.79166666666666663</v>
      </c>
      <c r="L606" s="3">
        <v>6</v>
      </c>
      <c r="M606" s="3" t="s">
        <v>355</v>
      </c>
      <c r="N606" s="3" t="s">
        <v>355</v>
      </c>
      <c r="O606" s="5"/>
      <c r="P606" s="3" t="s">
        <v>22</v>
      </c>
      <c r="Q606" s="7"/>
      <c r="R606" s="7"/>
    </row>
    <row r="607" spans="1:18" ht="114.75" x14ac:dyDescent="0.25">
      <c r="A607" s="3" t="s">
        <v>18</v>
      </c>
      <c r="B607" s="3">
        <v>2013</v>
      </c>
      <c r="C607" s="3" t="s">
        <v>19</v>
      </c>
      <c r="D607" s="3" t="str">
        <f>"631 / 2013"</f>
        <v>631 / 2013</v>
      </c>
      <c r="E607" s="4">
        <v>41544</v>
      </c>
      <c r="F607" s="3" t="s">
        <v>1388</v>
      </c>
      <c r="G607" s="5"/>
      <c r="H607" s="3" t="s">
        <v>1389</v>
      </c>
      <c r="I607" s="3" t="str">
        <f t="shared" si="43"/>
        <v>21 / 25-09-2013</v>
      </c>
      <c r="J607" s="4">
        <v>41542</v>
      </c>
      <c r="K607" s="6">
        <v>0.79166666666666663</v>
      </c>
      <c r="L607" s="3">
        <v>6</v>
      </c>
      <c r="M607" s="3" t="s">
        <v>355</v>
      </c>
      <c r="N607" s="3" t="s">
        <v>355</v>
      </c>
      <c r="O607" s="5"/>
      <c r="P607" s="3" t="s">
        <v>22</v>
      </c>
      <c r="Q607" s="7"/>
      <c r="R607" s="7"/>
    </row>
    <row r="608" spans="1:18" ht="127.5" x14ac:dyDescent="0.25">
      <c r="A608" s="3" t="s">
        <v>18</v>
      </c>
      <c r="B608" s="3">
        <v>2013</v>
      </c>
      <c r="C608" s="3" t="s">
        <v>19</v>
      </c>
      <c r="D608" s="3" t="str">
        <f>"632 / 2013"</f>
        <v>632 / 2013</v>
      </c>
      <c r="E608" s="4">
        <v>41543</v>
      </c>
      <c r="F608" s="3" t="s">
        <v>1390</v>
      </c>
      <c r="G608" s="5"/>
      <c r="H608" s="3" t="s">
        <v>1391</v>
      </c>
      <c r="I608" s="3" t="str">
        <f t="shared" si="43"/>
        <v>21 / 25-09-2013</v>
      </c>
      <c r="J608" s="4">
        <v>41542</v>
      </c>
      <c r="K608" s="6">
        <v>0.79166666666666663</v>
      </c>
      <c r="L608" s="3">
        <v>7</v>
      </c>
      <c r="M608" s="3" t="s">
        <v>728</v>
      </c>
      <c r="N608" s="3" t="s">
        <v>1392</v>
      </c>
      <c r="O608" s="5"/>
      <c r="P608" s="3" t="s">
        <v>22</v>
      </c>
      <c r="Q608" s="7"/>
      <c r="R608" s="7"/>
    </row>
    <row r="609" spans="1:18" ht="114.75" x14ac:dyDescent="0.25">
      <c r="A609" s="3" t="s">
        <v>18</v>
      </c>
      <c r="B609" s="3">
        <v>2013</v>
      </c>
      <c r="C609" s="3" t="s">
        <v>19</v>
      </c>
      <c r="D609" s="3" t="str">
        <f>"633 / 2013"</f>
        <v>633 / 2013</v>
      </c>
      <c r="E609" s="4">
        <v>41543</v>
      </c>
      <c r="F609" s="3" t="s">
        <v>1393</v>
      </c>
      <c r="G609" s="5"/>
      <c r="H609" s="3" t="s">
        <v>1394</v>
      </c>
      <c r="I609" s="3" t="str">
        <f t="shared" si="43"/>
        <v>21 / 25-09-2013</v>
      </c>
      <c r="J609" s="4">
        <v>41542</v>
      </c>
      <c r="K609" s="6">
        <v>0.79166666666666663</v>
      </c>
      <c r="L609" s="3">
        <v>7</v>
      </c>
      <c r="M609" s="3" t="s">
        <v>728</v>
      </c>
      <c r="N609" s="3" t="s">
        <v>1392</v>
      </c>
      <c r="O609" s="5"/>
      <c r="P609" s="3" t="s">
        <v>22</v>
      </c>
      <c r="Q609" s="7"/>
      <c r="R609" s="7"/>
    </row>
    <row r="610" spans="1:18" ht="63.75" x14ac:dyDescent="0.25">
      <c r="A610" s="3" t="s">
        <v>18</v>
      </c>
      <c r="B610" s="3">
        <v>2013</v>
      </c>
      <c r="C610" s="3" t="s">
        <v>19</v>
      </c>
      <c r="D610" s="3" t="str">
        <f>"634 / 2013"</f>
        <v>634 / 2013</v>
      </c>
      <c r="E610" s="4">
        <v>41548</v>
      </c>
      <c r="F610" s="3" t="s">
        <v>1395</v>
      </c>
      <c r="G610" s="5"/>
      <c r="H610" s="3" t="s">
        <v>1396</v>
      </c>
      <c r="I610" s="3" t="str">
        <f t="shared" si="43"/>
        <v>21 / 25-09-2013</v>
      </c>
      <c r="J610" s="4">
        <v>41542</v>
      </c>
      <c r="K610" s="6">
        <v>0.79166666666666663</v>
      </c>
      <c r="L610" s="3">
        <v>8</v>
      </c>
      <c r="M610" s="3" t="s">
        <v>1319</v>
      </c>
      <c r="N610" s="3" t="s">
        <v>382</v>
      </c>
      <c r="O610" s="5"/>
      <c r="P610" s="3" t="s">
        <v>22</v>
      </c>
      <c r="Q610" s="7"/>
      <c r="R610" s="7"/>
    </row>
    <row r="611" spans="1:18" ht="51" x14ac:dyDescent="0.25">
      <c r="A611" s="3" t="s">
        <v>18</v>
      </c>
      <c r="B611" s="3">
        <v>2013</v>
      </c>
      <c r="C611" s="3" t="s">
        <v>19</v>
      </c>
      <c r="D611" s="3" t="str">
        <f>"635 / 2013"</f>
        <v>635 / 2013</v>
      </c>
      <c r="E611" s="4">
        <v>41543</v>
      </c>
      <c r="F611" s="3" t="s">
        <v>1397</v>
      </c>
      <c r="G611" s="5"/>
      <c r="H611" s="3" t="s">
        <v>1398</v>
      </c>
      <c r="I611" s="3" t="str">
        <f t="shared" si="43"/>
        <v>21 / 25-09-2013</v>
      </c>
      <c r="J611" s="4">
        <v>41542</v>
      </c>
      <c r="K611" s="6">
        <v>0.79166666666666663</v>
      </c>
      <c r="L611" s="3">
        <v>9</v>
      </c>
      <c r="M611" s="3" t="s">
        <v>1399</v>
      </c>
      <c r="N611" s="3" t="s">
        <v>1400</v>
      </c>
      <c r="O611" s="5"/>
      <c r="P611" s="3" t="s">
        <v>22</v>
      </c>
      <c r="Q611" s="7"/>
      <c r="R611" s="7"/>
    </row>
    <row r="612" spans="1:18" ht="76.5" x14ac:dyDescent="0.25">
      <c r="A612" s="3" t="s">
        <v>18</v>
      </c>
      <c r="B612" s="3">
        <v>2013</v>
      </c>
      <c r="C612" s="3" t="s">
        <v>19</v>
      </c>
      <c r="D612" s="3" t="str">
        <f>"636 / 2013"</f>
        <v>636 / 2013</v>
      </c>
      <c r="E612" s="4">
        <v>41551</v>
      </c>
      <c r="F612" s="3" t="s">
        <v>1401</v>
      </c>
      <c r="G612" s="5"/>
      <c r="H612" s="3" t="s">
        <v>1402</v>
      </c>
      <c r="I612" s="3" t="str">
        <f t="shared" si="43"/>
        <v>21 / 25-09-2013</v>
      </c>
      <c r="J612" s="4">
        <v>41542</v>
      </c>
      <c r="K612" s="6">
        <v>0.79166666666666663</v>
      </c>
      <c r="L612" s="3">
        <v>10</v>
      </c>
      <c r="M612" s="3" t="s">
        <v>552</v>
      </c>
      <c r="N612" s="3" t="s">
        <v>552</v>
      </c>
      <c r="O612" s="5"/>
      <c r="P612" s="3" t="s">
        <v>22</v>
      </c>
      <c r="Q612" s="7"/>
      <c r="R612" s="7"/>
    </row>
    <row r="613" spans="1:18" ht="102" x14ac:dyDescent="0.25">
      <c r="A613" s="3" t="s">
        <v>18</v>
      </c>
      <c r="B613" s="3">
        <v>2013</v>
      </c>
      <c r="C613" s="3" t="s">
        <v>19</v>
      </c>
      <c r="D613" s="3" t="str">
        <f>"637 / 2013"</f>
        <v>637 / 2013</v>
      </c>
      <c r="E613" s="4">
        <v>41563</v>
      </c>
      <c r="F613" s="3" t="s">
        <v>1403</v>
      </c>
      <c r="G613" s="5"/>
      <c r="H613" s="3" t="s">
        <v>1404</v>
      </c>
      <c r="I613" s="3" t="str">
        <f t="shared" si="43"/>
        <v>21 / 25-09-2013</v>
      </c>
      <c r="J613" s="4">
        <v>41542</v>
      </c>
      <c r="K613" s="6">
        <v>0.79166666666666663</v>
      </c>
      <c r="L613" s="3">
        <v>12</v>
      </c>
      <c r="M613" s="3" t="s">
        <v>1405</v>
      </c>
      <c r="N613" s="3" t="s">
        <v>1405</v>
      </c>
      <c r="O613" s="5"/>
      <c r="P613" s="3" t="s">
        <v>22</v>
      </c>
      <c r="Q613" s="7"/>
      <c r="R613" s="7"/>
    </row>
    <row r="614" spans="1:18" ht="38.25" x14ac:dyDescent="0.25">
      <c r="A614" s="3" t="s">
        <v>18</v>
      </c>
      <c r="B614" s="3">
        <v>2013</v>
      </c>
      <c r="C614" s="3" t="s">
        <v>19</v>
      </c>
      <c r="D614" s="3" t="str">
        <f>"638 / 2013"</f>
        <v>638 / 2013</v>
      </c>
      <c r="E614" s="4">
        <v>41543</v>
      </c>
      <c r="F614" s="3" t="s">
        <v>1406</v>
      </c>
      <c r="G614" s="5"/>
      <c r="H614" s="3" t="s">
        <v>1407</v>
      </c>
      <c r="I614" s="3" t="str">
        <f t="shared" si="43"/>
        <v>21 / 25-09-2013</v>
      </c>
      <c r="J614" s="4">
        <v>41542</v>
      </c>
      <c r="K614" s="6">
        <v>0.79166666666666663</v>
      </c>
      <c r="L614" s="3">
        <v>14</v>
      </c>
      <c r="M614" s="3" t="s">
        <v>50</v>
      </c>
      <c r="N614" s="3" t="s">
        <v>50</v>
      </c>
      <c r="O614" s="5"/>
      <c r="P614" s="3" t="s">
        <v>22</v>
      </c>
      <c r="Q614" s="7"/>
      <c r="R614" s="7"/>
    </row>
    <row r="615" spans="1:18" ht="38.25" x14ac:dyDescent="0.25">
      <c r="A615" s="3" t="s">
        <v>18</v>
      </c>
      <c r="B615" s="3">
        <v>2013</v>
      </c>
      <c r="C615" s="3" t="s">
        <v>19</v>
      </c>
      <c r="D615" s="3" t="str">
        <f>"639 / 2013"</f>
        <v>639 / 2013</v>
      </c>
      <c r="E615" s="4">
        <v>41544</v>
      </c>
      <c r="F615" s="3" t="s">
        <v>1408</v>
      </c>
      <c r="G615" s="5"/>
      <c r="H615" s="3" t="s">
        <v>1409</v>
      </c>
      <c r="I615" s="3" t="str">
        <f t="shared" si="43"/>
        <v>21 / 25-09-2013</v>
      </c>
      <c r="J615" s="4">
        <v>41542</v>
      </c>
      <c r="K615" s="6">
        <v>0.79166666666666663</v>
      </c>
      <c r="L615" s="3">
        <v>15</v>
      </c>
      <c r="M615" s="3" t="s">
        <v>56</v>
      </c>
      <c r="N615" s="3" t="s">
        <v>56</v>
      </c>
      <c r="O615" s="5"/>
      <c r="P615" s="3" t="s">
        <v>22</v>
      </c>
      <c r="Q615" s="7"/>
      <c r="R615" s="7"/>
    </row>
    <row r="616" spans="1:18" ht="153" x14ac:dyDescent="0.25">
      <c r="A616" s="3" t="s">
        <v>18</v>
      </c>
      <c r="B616" s="3">
        <v>2013</v>
      </c>
      <c r="C616" s="3" t="s">
        <v>19</v>
      </c>
      <c r="D616" s="3" t="str">
        <f>"64/2013"</f>
        <v>64/2013</v>
      </c>
      <c r="E616" s="4">
        <v>41325</v>
      </c>
      <c r="F616" s="3" t="s">
        <v>1410</v>
      </c>
      <c r="G616" s="5"/>
      <c r="H616" s="3" t="s">
        <v>1411</v>
      </c>
      <c r="I616" s="3" t="str">
        <f>"5/20-02-2013"</f>
        <v>5/20-02-2013</v>
      </c>
      <c r="J616" s="4">
        <v>41325</v>
      </c>
      <c r="K616" s="6">
        <v>0.79166666666666663</v>
      </c>
      <c r="L616" s="3">
        <v>14</v>
      </c>
      <c r="M616" s="3" t="s">
        <v>1412</v>
      </c>
      <c r="N616" s="3" t="s">
        <v>1412</v>
      </c>
      <c r="O616" s="5"/>
      <c r="P616" s="3" t="s">
        <v>22</v>
      </c>
      <c r="Q616" s="7"/>
      <c r="R616" s="7"/>
    </row>
    <row r="617" spans="1:18" ht="102" x14ac:dyDescent="0.25">
      <c r="A617" s="3" t="s">
        <v>18</v>
      </c>
      <c r="B617" s="3">
        <v>2013</v>
      </c>
      <c r="C617" s="3" t="s">
        <v>19</v>
      </c>
      <c r="D617" s="3" t="str">
        <f>"640 / 2013"</f>
        <v>640 / 2013</v>
      </c>
      <c r="E617" s="4">
        <v>41543</v>
      </c>
      <c r="F617" s="3" t="s">
        <v>1413</v>
      </c>
      <c r="G617" s="5"/>
      <c r="H617" s="3" t="s">
        <v>1414</v>
      </c>
      <c r="I617" s="3" t="str">
        <f t="shared" ref="I617:I626" si="44">"21 / 25-09-2013"</f>
        <v>21 / 25-09-2013</v>
      </c>
      <c r="J617" s="4">
        <v>41542</v>
      </c>
      <c r="K617" s="6">
        <v>0.79166666666666663</v>
      </c>
      <c r="L617" s="3">
        <v>16</v>
      </c>
      <c r="M617" s="3" t="s">
        <v>534</v>
      </c>
      <c r="N617" s="3" t="s">
        <v>534</v>
      </c>
      <c r="O617" s="5"/>
      <c r="P617" s="3" t="s">
        <v>22</v>
      </c>
      <c r="Q617" s="7"/>
      <c r="R617" s="7"/>
    </row>
    <row r="618" spans="1:18" ht="114.75" x14ac:dyDescent="0.25">
      <c r="A618" s="3" t="s">
        <v>18</v>
      </c>
      <c r="B618" s="3">
        <v>2013</v>
      </c>
      <c r="C618" s="3" t="s">
        <v>19</v>
      </c>
      <c r="D618" s="3" t="str">
        <f>"641 / 2013"</f>
        <v>641 / 2013</v>
      </c>
      <c r="E618" s="4">
        <v>41554</v>
      </c>
      <c r="F618" s="3" t="s">
        <v>1415</v>
      </c>
      <c r="G618" s="5"/>
      <c r="H618" s="3" t="s">
        <v>1416</v>
      </c>
      <c r="I618" s="3" t="str">
        <f t="shared" si="44"/>
        <v>21 / 25-09-2013</v>
      </c>
      <c r="J618" s="4">
        <v>41542</v>
      </c>
      <c r="K618" s="6">
        <v>0.79166666666666663</v>
      </c>
      <c r="L618" s="3">
        <v>16</v>
      </c>
      <c r="M618" s="3" t="s">
        <v>534</v>
      </c>
      <c r="N618" s="3" t="s">
        <v>534</v>
      </c>
      <c r="O618" s="5"/>
      <c r="P618" s="3" t="s">
        <v>22</v>
      </c>
      <c r="Q618" s="7"/>
      <c r="R618" s="7"/>
    </row>
    <row r="619" spans="1:18" ht="102" x14ac:dyDescent="0.25">
      <c r="A619" s="3" t="s">
        <v>18</v>
      </c>
      <c r="B619" s="3">
        <v>2013</v>
      </c>
      <c r="C619" s="3" t="s">
        <v>19</v>
      </c>
      <c r="D619" s="3" t="str">
        <f>"642 / 2013"</f>
        <v>642 / 2013</v>
      </c>
      <c r="E619" s="4">
        <v>41555</v>
      </c>
      <c r="F619" s="3" t="s">
        <v>1417</v>
      </c>
      <c r="G619" s="5"/>
      <c r="H619" s="3" t="s">
        <v>1418</v>
      </c>
      <c r="I619" s="3" t="str">
        <f t="shared" si="44"/>
        <v>21 / 25-09-2013</v>
      </c>
      <c r="J619" s="4">
        <v>41542</v>
      </c>
      <c r="K619" s="6">
        <v>0.79166666666666663</v>
      </c>
      <c r="L619" s="3">
        <v>16</v>
      </c>
      <c r="M619" s="3" t="s">
        <v>534</v>
      </c>
      <c r="N619" s="3" t="s">
        <v>534</v>
      </c>
      <c r="O619" s="5"/>
      <c r="P619" s="3" t="s">
        <v>22</v>
      </c>
      <c r="Q619" s="7"/>
      <c r="R619" s="7"/>
    </row>
    <row r="620" spans="1:18" ht="89.25" x14ac:dyDescent="0.25">
      <c r="A620" s="3" t="s">
        <v>18</v>
      </c>
      <c r="B620" s="3">
        <v>2013</v>
      </c>
      <c r="C620" s="3" t="s">
        <v>19</v>
      </c>
      <c r="D620" s="3" t="str">
        <f>"643 / 2013"</f>
        <v>643 / 2013</v>
      </c>
      <c r="E620" s="4">
        <v>41555</v>
      </c>
      <c r="F620" s="3" t="s">
        <v>1419</v>
      </c>
      <c r="G620" s="5"/>
      <c r="H620" s="3" t="s">
        <v>1420</v>
      </c>
      <c r="I620" s="3" t="str">
        <f t="shared" si="44"/>
        <v>21 / 25-09-2013</v>
      </c>
      <c r="J620" s="4">
        <v>41542</v>
      </c>
      <c r="K620" s="6">
        <v>0.79166666666666663</v>
      </c>
      <c r="L620" s="3">
        <v>16</v>
      </c>
      <c r="M620" s="3" t="s">
        <v>534</v>
      </c>
      <c r="N620" s="3" t="s">
        <v>534</v>
      </c>
      <c r="O620" s="5"/>
      <c r="P620" s="3" t="s">
        <v>22</v>
      </c>
      <c r="Q620" s="7"/>
      <c r="R620" s="7"/>
    </row>
    <row r="621" spans="1:18" ht="76.5" x14ac:dyDescent="0.25">
      <c r="A621" s="3" t="s">
        <v>18</v>
      </c>
      <c r="B621" s="3">
        <v>2013</v>
      </c>
      <c r="C621" s="3" t="s">
        <v>19</v>
      </c>
      <c r="D621" s="3" t="str">
        <f>"644 / 2013"</f>
        <v>644 / 2013</v>
      </c>
      <c r="E621" s="4">
        <v>41555</v>
      </c>
      <c r="F621" s="3" t="s">
        <v>1421</v>
      </c>
      <c r="G621" s="5"/>
      <c r="H621" s="3" t="s">
        <v>1422</v>
      </c>
      <c r="I621" s="3" t="str">
        <f t="shared" si="44"/>
        <v>21 / 25-09-2013</v>
      </c>
      <c r="J621" s="4">
        <v>41542</v>
      </c>
      <c r="K621" s="6">
        <v>0.79166666666666663</v>
      </c>
      <c r="L621" s="3">
        <v>16</v>
      </c>
      <c r="M621" s="3" t="s">
        <v>534</v>
      </c>
      <c r="N621" s="3" t="s">
        <v>534</v>
      </c>
      <c r="O621" s="5"/>
      <c r="P621" s="3" t="s">
        <v>22</v>
      </c>
      <c r="Q621" s="7"/>
      <c r="R621" s="7"/>
    </row>
    <row r="622" spans="1:18" ht="76.5" x14ac:dyDescent="0.25">
      <c r="A622" s="3" t="s">
        <v>18</v>
      </c>
      <c r="B622" s="3">
        <v>2013</v>
      </c>
      <c r="C622" s="3" t="s">
        <v>19</v>
      </c>
      <c r="D622" s="3" t="str">
        <f>"645 / 2013"</f>
        <v>645 / 2013</v>
      </c>
      <c r="E622" s="4">
        <v>41548</v>
      </c>
      <c r="F622" s="3" t="s">
        <v>1423</v>
      </c>
      <c r="G622" s="5"/>
      <c r="H622" s="3" t="s">
        <v>1424</v>
      </c>
      <c r="I622" s="3" t="str">
        <f t="shared" si="44"/>
        <v>21 / 25-09-2013</v>
      </c>
      <c r="J622" s="4">
        <v>41542</v>
      </c>
      <c r="K622" s="6">
        <v>0.79166666666666663</v>
      </c>
      <c r="L622" s="3">
        <v>17</v>
      </c>
      <c r="M622" s="3" t="s">
        <v>56</v>
      </c>
      <c r="N622" s="3" t="s">
        <v>56</v>
      </c>
      <c r="O622" s="5"/>
      <c r="P622" s="3" t="s">
        <v>22</v>
      </c>
      <c r="Q622" s="7"/>
      <c r="R622" s="7"/>
    </row>
    <row r="623" spans="1:18" ht="51" x14ac:dyDescent="0.25">
      <c r="A623" s="3" t="s">
        <v>18</v>
      </c>
      <c r="B623" s="3">
        <v>2013</v>
      </c>
      <c r="C623" s="3" t="s">
        <v>19</v>
      </c>
      <c r="D623" s="3" t="str">
        <f>"646 / 2013"</f>
        <v>646 / 2013</v>
      </c>
      <c r="E623" s="4">
        <v>41549</v>
      </c>
      <c r="F623" s="3" t="s">
        <v>1425</v>
      </c>
      <c r="G623" s="5"/>
      <c r="H623" s="3" t="s">
        <v>1426</v>
      </c>
      <c r="I623" s="3" t="str">
        <f t="shared" si="44"/>
        <v>21 / 25-09-2013</v>
      </c>
      <c r="J623" s="4">
        <v>41542</v>
      </c>
      <c r="K623" s="6">
        <v>0.79166666666666663</v>
      </c>
      <c r="L623" s="3">
        <v>18</v>
      </c>
      <c r="M623" s="3" t="s">
        <v>56</v>
      </c>
      <c r="N623" s="3" t="s">
        <v>56</v>
      </c>
      <c r="O623" s="5"/>
      <c r="P623" s="3" t="s">
        <v>22</v>
      </c>
      <c r="Q623" s="7"/>
      <c r="R623" s="7"/>
    </row>
    <row r="624" spans="1:18" ht="76.5" x14ac:dyDescent="0.25">
      <c r="A624" s="3" t="s">
        <v>18</v>
      </c>
      <c r="B624" s="3">
        <v>2013</v>
      </c>
      <c r="C624" s="3" t="s">
        <v>19</v>
      </c>
      <c r="D624" s="3" t="str">
        <f>"647 / 2013"</f>
        <v>647 / 2013</v>
      </c>
      <c r="E624" s="4">
        <v>41561</v>
      </c>
      <c r="F624" s="3" t="s">
        <v>1427</v>
      </c>
      <c r="G624" s="5"/>
      <c r="H624" s="3" t="s">
        <v>1428</v>
      </c>
      <c r="I624" s="3" t="str">
        <f t="shared" si="44"/>
        <v>21 / 25-09-2013</v>
      </c>
      <c r="J624" s="4">
        <v>41542</v>
      </c>
      <c r="K624" s="6">
        <v>0.79166666666666663</v>
      </c>
      <c r="L624" s="3">
        <v>19</v>
      </c>
      <c r="M624" s="3" t="s">
        <v>56</v>
      </c>
      <c r="N624" s="3" t="s">
        <v>56</v>
      </c>
      <c r="O624" s="5"/>
      <c r="P624" s="3" t="s">
        <v>22</v>
      </c>
      <c r="Q624" s="7"/>
      <c r="R624" s="7"/>
    </row>
    <row r="625" spans="1:18" ht="89.25" x14ac:dyDescent="0.25">
      <c r="A625" s="3" t="s">
        <v>18</v>
      </c>
      <c r="B625" s="3">
        <v>2013</v>
      </c>
      <c r="C625" s="3" t="s">
        <v>19</v>
      </c>
      <c r="D625" s="3" t="str">
        <f>"648 / 2013"</f>
        <v>648 / 2013</v>
      </c>
      <c r="E625" s="4">
        <v>41561</v>
      </c>
      <c r="F625" s="3" t="s">
        <v>1429</v>
      </c>
      <c r="G625" s="5"/>
      <c r="H625" s="3" t="s">
        <v>1430</v>
      </c>
      <c r="I625" s="3" t="str">
        <f t="shared" si="44"/>
        <v>21 / 25-09-2013</v>
      </c>
      <c r="J625" s="4">
        <v>41542</v>
      </c>
      <c r="K625" s="6">
        <v>0.79166666666666663</v>
      </c>
      <c r="L625" s="3">
        <v>19</v>
      </c>
      <c r="M625" s="3" t="s">
        <v>56</v>
      </c>
      <c r="N625" s="3" t="s">
        <v>56</v>
      </c>
      <c r="O625" s="5"/>
      <c r="P625" s="3" t="s">
        <v>22</v>
      </c>
      <c r="Q625" s="7"/>
      <c r="R625" s="7"/>
    </row>
    <row r="626" spans="1:18" ht="63.75" x14ac:dyDescent="0.25">
      <c r="A626" s="3" t="s">
        <v>18</v>
      </c>
      <c r="B626" s="3">
        <v>2013</v>
      </c>
      <c r="C626" s="3" t="s">
        <v>19</v>
      </c>
      <c r="D626" s="3" t="str">
        <f>"649 / 2013"</f>
        <v>649 / 2013</v>
      </c>
      <c r="E626" s="4">
        <v>41548</v>
      </c>
      <c r="F626" s="3" t="s">
        <v>1431</v>
      </c>
      <c r="G626" s="5"/>
      <c r="H626" s="3" t="s">
        <v>1432</v>
      </c>
      <c r="I626" s="3" t="str">
        <f t="shared" si="44"/>
        <v>21 / 25-09-2013</v>
      </c>
      <c r="J626" s="4">
        <v>41542</v>
      </c>
      <c r="K626" s="6">
        <v>0.79166666666666663</v>
      </c>
      <c r="L626" s="3">
        <v>20</v>
      </c>
      <c r="M626" s="3" t="s">
        <v>56</v>
      </c>
      <c r="N626" s="3" t="s">
        <v>56</v>
      </c>
      <c r="O626" s="5"/>
      <c r="P626" s="3" t="s">
        <v>22</v>
      </c>
      <c r="Q626" s="7"/>
      <c r="R626" s="7"/>
    </row>
    <row r="627" spans="1:18" ht="38.25" x14ac:dyDescent="0.25">
      <c r="A627" s="3" t="s">
        <v>18</v>
      </c>
      <c r="B627" s="3">
        <v>2013</v>
      </c>
      <c r="C627" s="3" t="s">
        <v>19</v>
      </c>
      <c r="D627" s="3" t="str">
        <f>"65/2013"</f>
        <v>65/2013</v>
      </c>
      <c r="E627" s="4">
        <v>41325</v>
      </c>
      <c r="F627" s="3" t="s">
        <v>1433</v>
      </c>
      <c r="G627" s="5"/>
      <c r="H627" s="3" t="s">
        <v>1434</v>
      </c>
      <c r="I627" s="3" t="str">
        <f>"5/20-02-2013"</f>
        <v>5/20-02-2013</v>
      </c>
      <c r="J627" s="4">
        <v>41325</v>
      </c>
      <c r="K627" s="6">
        <v>0.79166666666666663</v>
      </c>
      <c r="L627" s="3">
        <v>15</v>
      </c>
      <c r="M627" s="3" t="s">
        <v>1435</v>
      </c>
      <c r="N627" s="3" t="s">
        <v>1435</v>
      </c>
      <c r="O627" s="5"/>
      <c r="P627" s="3" t="s">
        <v>22</v>
      </c>
      <c r="Q627" s="7"/>
      <c r="R627" s="7"/>
    </row>
    <row r="628" spans="1:18" ht="51" x14ac:dyDescent="0.25">
      <c r="A628" s="3" t="s">
        <v>18</v>
      </c>
      <c r="B628" s="3">
        <v>2013</v>
      </c>
      <c r="C628" s="3" t="s">
        <v>19</v>
      </c>
      <c r="D628" s="3" t="str">
        <f>"650 / 2013"</f>
        <v>650 / 2013</v>
      </c>
      <c r="E628" s="4">
        <v>41547</v>
      </c>
      <c r="F628" s="3" t="s">
        <v>1436</v>
      </c>
      <c r="G628" s="5"/>
      <c r="H628" s="3" t="s">
        <v>1437</v>
      </c>
      <c r="I628" s="3" t="str">
        <f t="shared" ref="I628:I637" si="45">"21 / 25-09-2013"</f>
        <v>21 / 25-09-2013</v>
      </c>
      <c r="J628" s="4">
        <v>41542</v>
      </c>
      <c r="K628" s="6">
        <v>0.79166666666666663</v>
      </c>
      <c r="L628" s="3">
        <v>20</v>
      </c>
      <c r="M628" s="3" t="s">
        <v>56</v>
      </c>
      <c r="N628" s="3" t="s">
        <v>56</v>
      </c>
      <c r="O628" s="5"/>
      <c r="P628" s="3" t="s">
        <v>22</v>
      </c>
      <c r="Q628" s="7"/>
      <c r="R628" s="7"/>
    </row>
    <row r="629" spans="1:18" ht="63.75" x14ac:dyDescent="0.25">
      <c r="A629" s="3" t="s">
        <v>18</v>
      </c>
      <c r="B629" s="3">
        <v>2013</v>
      </c>
      <c r="C629" s="3" t="s">
        <v>19</v>
      </c>
      <c r="D629" s="3" t="str">
        <f>"651 / 2013"</f>
        <v>651 / 2013</v>
      </c>
      <c r="E629" s="4">
        <v>41548</v>
      </c>
      <c r="F629" s="3" t="s">
        <v>1438</v>
      </c>
      <c r="G629" s="5"/>
      <c r="H629" s="3" t="s">
        <v>1439</v>
      </c>
      <c r="I629" s="3" t="str">
        <f t="shared" si="45"/>
        <v>21 / 25-09-2013</v>
      </c>
      <c r="J629" s="4">
        <v>41542</v>
      </c>
      <c r="K629" s="6">
        <v>0.79166666666666663</v>
      </c>
      <c r="L629" s="3">
        <v>20</v>
      </c>
      <c r="M629" s="3" t="s">
        <v>56</v>
      </c>
      <c r="N629" s="3" t="s">
        <v>56</v>
      </c>
      <c r="O629" s="5"/>
      <c r="P629" s="3" t="s">
        <v>22</v>
      </c>
      <c r="Q629" s="7"/>
      <c r="R629" s="7"/>
    </row>
    <row r="630" spans="1:18" ht="76.5" x14ac:dyDescent="0.25">
      <c r="A630" s="3" t="s">
        <v>18</v>
      </c>
      <c r="B630" s="3">
        <v>2013</v>
      </c>
      <c r="C630" s="3" t="s">
        <v>19</v>
      </c>
      <c r="D630" s="3" t="str">
        <f>"652 / 2013"</f>
        <v>652 / 2013</v>
      </c>
      <c r="E630" s="4">
        <v>41549</v>
      </c>
      <c r="F630" s="3" t="s">
        <v>1440</v>
      </c>
      <c r="G630" s="5"/>
      <c r="H630" s="3" t="s">
        <v>1441</v>
      </c>
      <c r="I630" s="3" t="str">
        <f t="shared" si="45"/>
        <v>21 / 25-09-2013</v>
      </c>
      <c r="J630" s="4">
        <v>41542</v>
      </c>
      <c r="K630" s="6">
        <v>0.79166666666666663</v>
      </c>
      <c r="L630" s="3">
        <v>20</v>
      </c>
      <c r="M630" s="3" t="s">
        <v>56</v>
      </c>
      <c r="N630" s="3" t="s">
        <v>56</v>
      </c>
      <c r="O630" s="5"/>
      <c r="P630" s="3" t="s">
        <v>22</v>
      </c>
      <c r="Q630" s="7"/>
      <c r="R630" s="7"/>
    </row>
    <row r="631" spans="1:18" ht="38.25" x14ac:dyDescent="0.25">
      <c r="A631" s="3" t="s">
        <v>18</v>
      </c>
      <c r="B631" s="3">
        <v>2013</v>
      </c>
      <c r="C631" s="3" t="s">
        <v>19</v>
      </c>
      <c r="D631" s="3" t="str">
        <f>"653 / 2013"</f>
        <v>653 / 2013</v>
      </c>
      <c r="E631" s="4">
        <v>41550</v>
      </c>
      <c r="F631" s="3" t="s">
        <v>1442</v>
      </c>
      <c r="G631" s="5"/>
      <c r="H631" s="3" t="s">
        <v>1443</v>
      </c>
      <c r="I631" s="3" t="str">
        <f t="shared" si="45"/>
        <v>21 / 25-09-2013</v>
      </c>
      <c r="J631" s="4">
        <v>41542</v>
      </c>
      <c r="K631" s="6">
        <v>0.79166666666666663</v>
      </c>
      <c r="L631" s="3">
        <v>21</v>
      </c>
      <c r="M631" s="3" t="s">
        <v>56</v>
      </c>
      <c r="N631" s="3" t="s">
        <v>56</v>
      </c>
      <c r="O631" s="5"/>
      <c r="P631" s="3" t="s">
        <v>22</v>
      </c>
      <c r="Q631" s="7"/>
      <c r="R631" s="7"/>
    </row>
    <row r="632" spans="1:18" ht="102" x14ac:dyDescent="0.25">
      <c r="A632" s="3" t="s">
        <v>18</v>
      </c>
      <c r="B632" s="3">
        <v>2013</v>
      </c>
      <c r="C632" s="3" t="s">
        <v>19</v>
      </c>
      <c r="D632" s="3" t="str">
        <f>"654 / 2013"</f>
        <v>654 / 2013</v>
      </c>
      <c r="E632" s="4">
        <v>41550</v>
      </c>
      <c r="F632" s="3" t="s">
        <v>1444</v>
      </c>
      <c r="G632" s="5"/>
      <c r="H632" s="3" t="s">
        <v>1445</v>
      </c>
      <c r="I632" s="3" t="str">
        <f t="shared" si="45"/>
        <v>21 / 25-09-2013</v>
      </c>
      <c r="J632" s="4">
        <v>41542</v>
      </c>
      <c r="K632" s="6">
        <v>0.79166666666666663</v>
      </c>
      <c r="L632" s="3">
        <v>22</v>
      </c>
      <c r="M632" s="3" t="s">
        <v>1446</v>
      </c>
      <c r="N632" s="3" t="s">
        <v>1446</v>
      </c>
      <c r="O632" s="5"/>
      <c r="P632" s="3" t="s">
        <v>22</v>
      </c>
      <c r="Q632" s="7"/>
      <c r="R632" s="7"/>
    </row>
    <row r="633" spans="1:18" ht="51" x14ac:dyDescent="0.25">
      <c r="A633" s="3" t="s">
        <v>18</v>
      </c>
      <c r="B633" s="3">
        <v>2013</v>
      </c>
      <c r="C633" s="3" t="s">
        <v>19</v>
      </c>
      <c r="D633" s="3" t="str">
        <f>"655 / 2013"</f>
        <v>655 / 2013</v>
      </c>
      <c r="E633" s="4">
        <v>41543</v>
      </c>
      <c r="F633" s="3" t="s">
        <v>1447</v>
      </c>
      <c r="G633" s="5"/>
      <c r="H633" s="3" t="s">
        <v>1448</v>
      </c>
      <c r="I633" s="3" t="str">
        <f t="shared" si="45"/>
        <v>21 / 25-09-2013</v>
      </c>
      <c r="J633" s="4">
        <v>41542</v>
      </c>
      <c r="K633" s="6">
        <v>0.79166666666666663</v>
      </c>
      <c r="L633" s="3">
        <v>23</v>
      </c>
      <c r="M633" s="3" t="s">
        <v>32</v>
      </c>
      <c r="N633" s="3" t="s">
        <v>32</v>
      </c>
      <c r="O633" s="5"/>
      <c r="P633" s="3" t="s">
        <v>22</v>
      </c>
      <c r="Q633" s="7"/>
      <c r="R633" s="7"/>
    </row>
    <row r="634" spans="1:18" ht="51" x14ac:dyDescent="0.25">
      <c r="A634" s="3" t="s">
        <v>18</v>
      </c>
      <c r="B634" s="3">
        <v>2013</v>
      </c>
      <c r="C634" s="3" t="s">
        <v>19</v>
      </c>
      <c r="D634" s="3" t="str">
        <f>"656 / 2013"</f>
        <v>656 / 2013</v>
      </c>
      <c r="E634" s="4">
        <v>41543</v>
      </c>
      <c r="F634" s="3" t="s">
        <v>1449</v>
      </c>
      <c r="G634" s="5"/>
      <c r="H634" s="3" t="s">
        <v>1450</v>
      </c>
      <c r="I634" s="3" t="str">
        <f t="shared" si="45"/>
        <v>21 / 25-09-2013</v>
      </c>
      <c r="J634" s="4">
        <v>41542</v>
      </c>
      <c r="K634" s="6">
        <v>0.79166666666666663</v>
      </c>
      <c r="L634" s="3">
        <v>24</v>
      </c>
      <c r="M634" s="3" t="s">
        <v>32</v>
      </c>
      <c r="N634" s="3" t="s">
        <v>32</v>
      </c>
      <c r="O634" s="5"/>
      <c r="P634" s="3" t="s">
        <v>22</v>
      </c>
      <c r="Q634" s="7"/>
      <c r="R634" s="7"/>
    </row>
    <row r="635" spans="1:18" ht="51" x14ac:dyDescent="0.25">
      <c r="A635" s="3" t="s">
        <v>18</v>
      </c>
      <c r="B635" s="3">
        <v>2013</v>
      </c>
      <c r="C635" s="3" t="s">
        <v>19</v>
      </c>
      <c r="D635" s="3" t="str">
        <f>"657 / 2013"</f>
        <v>657 / 2013</v>
      </c>
      <c r="E635" s="4">
        <v>41543</v>
      </c>
      <c r="F635" s="3" t="s">
        <v>1451</v>
      </c>
      <c r="G635" s="5"/>
      <c r="H635" s="3" t="s">
        <v>1452</v>
      </c>
      <c r="I635" s="3" t="str">
        <f t="shared" si="45"/>
        <v>21 / 25-09-2013</v>
      </c>
      <c r="J635" s="4">
        <v>41542</v>
      </c>
      <c r="K635" s="6">
        <v>0.79166666666666663</v>
      </c>
      <c r="L635" s="3">
        <v>24</v>
      </c>
      <c r="M635" s="3" t="s">
        <v>32</v>
      </c>
      <c r="N635" s="3" t="s">
        <v>32</v>
      </c>
      <c r="O635" s="5"/>
      <c r="P635" s="3" t="s">
        <v>22</v>
      </c>
      <c r="Q635" s="7"/>
      <c r="R635" s="7"/>
    </row>
    <row r="636" spans="1:18" ht="38.25" x14ac:dyDescent="0.25">
      <c r="A636" s="3" t="s">
        <v>18</v>
      </c>
      <c r="B636" s="3">
        <v>2013</v>
      </c>
      <c r="C636" s="3" t="s">
        <v>19</v>
      </c>
      <c r="D636" s="3" t="str">
        <f>"658 / 2013"</f>
        <v>658 / 2013</v>
      </c>
      <c r="E636" s="4">
        <v>41543</v>
      </c>
      <c r="F636" s="3" t="s">
        <v>1453</v>
      </c>
      <c r="G636" s="5"/>
      <c r="H636" s="3" t="s">
        <v>1454</v>
      </c>
      <c r="I636" s="3" t="str">
        <f t="shared" si="45"/>
        <v>21 / 25-09-2013</v>
      </c>
      <c r="J636" s="4">
        <v>41542</v>
      </c>
      <c r="K636" s="6">
        <v>0.79166666666666663</v>
      </c>
      <c r="L636" s="3">
        <v>25</v>
      </c>
      <c r="M636" s="3" t="s">
        <v>132</v>
      </c>
      <c r="N636" s="3" t="s">
        <v>132</v>
      </c>
      <c r="O636" s="5"/>
      <c r="P636" s="3" t="s">
        <v>22</v>
      </c>
      <c r="Q636" s="7"/>
      <c r="R636" s="7"/>
    </row>
    <row r="637" spans="1:18" ht="51" x14ac:dyDescent="0.25">
      <c r="A637" s="3" t="s">
        <v>18</v>
      </c>
      <c r="B637" s="3">
        <v>2013</v>
      </c>
      <c r="C637" s="3" t="s">
        <v>19</v>
      </c>
      <c r="D637" s="3" t="str">
        <f>"659 / 2013"</f>
        <v>659 / 2013</v>
      </c>
      <c r="E637" s="4">
        <v>41544</v>
      </c>
      <c r="F637" s="3" t="s">
        <v>1455</v>
      </c>
      <c r="G637" s="5"/>
      <c r="H637" s="3" t="s">
        <v>1456</v>
      </c>
      <c r="I637" s="3" t="str">
        <f t="shared" si="45"/>
        <v>21 / 25-09-2013</v>
      </c>
      <c r="J637" s="4">
        <v>41542</v>
      </c>
      <c r="K637" s="6">
        <v>0.79166666666666663</v>
      </c>
      <c r="L637" s="3">
        <v>25</v>
      </c>
      <c r="M637" s="3" t="s">
        <v>132</v>
      </c>
      <c r="N637" s="3" t="s">
        <v>132</v>
      </c>
      <c r="O637" s="5"/>
      <c r="P637" s="3" t="s">
        <v>22</v>
      </c>
      <c r="Q637" s="7"/>
      <c r="R637" s="7"/>
    </row>
    <row r="638" spans="1:18" ht="51" x14ac:dyDescent="0.25">
      <c r="A638" s="3" t="s">
        <v>18</v>
      </c>
      <c r="B638" s="3">
        <v>2013</v>
      </c>
      <c r="C638" s="3" t="s">
        <v>19</v>
      </c>
      <c r="D638" s="3" t="str">
        <f>"66/2013"</f>
        <v>66/2013</v>
      </c>
      <c r="E638" s="4">
        <v>41325</v>
      </c>
      <c r="F638" s="3" t="s">
        <v>1457</v>
      </c>
      <c r="G638" s="5"/>
      <c r="H638" s="3" t="s">
        <v>1458</v>
      </c>
      <c r="I638" s="3" t="str">
        <f>"5/20-02-2013"</f>
        <v>5/20-02-2013</v>
      </c>
      <c r="J638" s="4">
        <v>41325</v>
      </c>
      <c r="K638" s="6">
        <v>0.79166666666666663</v>
      </c>
      <c r="L638" s="3">
        <v>16</v>
      </c>
      <c r="M638" s="3" t="s">
        <v>1459</v>
      </c>
      <c r="N638" s="3" t="s">
        <v>1459</v>
      </c>
      <c r="O638" s="5"/>
      <c r="P638" s="3" t="s">
        <v>22</v>
      </c>
      <c r="Q638" s="7"/>
      <c r="R638" s="7"/>
    </row>
    <row r="639" spans="1:18" ht="63.75" x14ac:dyDescent="0.25">
      <c r="A639" s="3" t="s">
        <v>18</v>
      </c>
      <c r="B639" s="3">
        <v>2013</v>
      </c>
      <c r="C639" s="3" t="s">
        <v>19</v>
      </c>
      <c r="D639" s="3" t="str">
        <f>"660 / 2013"</f>
        <v>660 / 2013</v>
      </c>
      <c r="E639" s="4">
        <v>41543</v>
      </c>
      <c r="F639" s="3" t="s">
        <v>1460</v>
      </c>
      <c r="G639" s="5"/>
      <c r="H639" s="3" t="s">
        <v>1461</v>
      </c>
      <c r="I639" s="3" t="str">
        <f>"21 / 25-09-2013"</f>
        <v>21 / 25-09-2013</v>
      </c>
      <c r="J639" s="4">
        <v>41542</v>
      </c>
      <c r="K639" s="6">
        <v>0.79166666666666663</v>
      </c>
      <c r="L639" s="3">
        <v>25</v>
      </c>
      <c r="M639" s="3" t="s">
        <v>132</v>
      </c>
      <c r="N639" s="3" t="s">
        <v>132</v>
      </c>
      <c r="O639" s="5"/>
      <c r="P639" s="3" t="s">
        <v>22</v>
      </c>
      <c r="Q639" s="7"/>
      <c r="R639" s="7"/>
    </row>
    <row r="640" spans="1:18" ht="25.5" x14ac:dyDescent="0.25">
      <c r="A640" s="3" t="s">
        <v>18</v>
      </c>
      <c r="B640" s="3">
        <v>2013</v>
      </c>
      <c r="C640" s="3" t="s">
        <v>19</v>
      </c>
      <c r="D640" s="3" t="str">
        <f>"661 / 2013"</f>
        <v>661 / 2013</v>
      </c>
      <c r="E640" s="4">
        <v>41544</v>
      </c>
      <c r="F640" s="3" t="s">
        <v>1462</v>
      </c>
      <c r="G640" s="5"/>
      <c r="H640" s="3" t="s">
        <v>1463</v>
      </c>
      <c r="I640" s="3" t="str">
        <f>"21 / 25-09-2013"</f>
        <v>21 / 25-09-2013</v>
      </c>
      <c r="J640" s="4">
        <v>41542</v>
      </c>
      <c r="K640" s="6">
        <v>0.79166666666666663</v>
      </c>
      <c r="L640" s="5"/>
      <c r="M640" s="3" t="s">
        <v>25</v>
      </c>
      <c r="N640" s="3" t="s">
        <v>25</v>
      </c>
      <c r="O640" s="5"/>
      <c r="P640" s="3" t="s">
        <v>74</v>
      </c>
      <c r="Q640" s="7"/>
      <c r="R640" s="7"/>
    </row>
    <row r="641" spans="1:18" ht="76.5" x14ac:dyDescent="0.25">
      <c r="A641" s="3" t="s">
        <v>18</v>
      </c>
      <c r="B641" s="3">
        <v>2013</v>
      </c>
      <c r="C641" s="3" t="s">
        <v>19</v>
      </c>
      <c r="D641" s="3" t="str">
        <f>"662 / 2013"</f>
        <v>662 / 2013</v>
      </c>
      <c r="E641" s="4">
        <v>41548</v>
      </c>
      <c r="F641" s="3" t="s">
        <v>1464</v>
      </c>
      <c r="G641" s="5"/>
      <c r="H641" s="3" t="s">
        <v>1465</v>
      </c>
      <c r="I641" s="3" t="str">
        <f>"21 / 25-09-2013"</f>
        <v>21 / 25-09-2013</v>
      </c>
      <c r="J641" s="4">
        <v>41542</v>
      </c>
      <c r="K641" s="6">
        <v>0.79166666666666663</v>
      </c>
      <c r="L641" s="5"/>
      <c r="M641" s="3" t="s">
        <v>56</v>
      </c>
      <c r="N641" s="3" t="s">
        <v>56</v>
      </c>
      <c r="O641" s="5"/>
      <c r="P641" s="3" t="s">
        <v>74</v>
      </c>
      <c r="Q641" s="7"/>
      <c r="R641" s="7"/>
    </row>
    <row r="642" spans="1:18" ht="51" x14ac:dyDescent="0.25">
      <c r="A642" s="3" t="s">
        <v>18</v>
      </c>
      <c r="B642" s="3">
        <v>2013</v>
      </c>
      <c r="C642" s="3" t="s">
        <v>19</v>
      </c>
      <c r="D642" s="3" t="str">
        <f>"663 / 2013"</f>
        <v>663 / 2013</v>
      </c>
      <c r="E642" s="4">
        <v>41544</v>
      </c>
      <c r="F642" s="3" t="s">
        <v>1466</v>
      </c>
      <c r="G642" s="5"/>
      <c r="H642" s="3" t="s">
        <v>1467</v>
      </c>
      <c r="I642" s="3" t="str">
        <f>"21 / 25-09-2013"</f>
        <v>21 / 25-09-2013</v>
      </c>
      <c r="J642" s="4">
        <v>41542</v>
      </c>
      <c r="K642" s="6">
        <v>0.79166666666666663</v>
      </c>
      <c r="L642" s="5"/>
      <c r="M642" s="5"/>
      <c r="N642" s="5"/>
      <c r="O642" s="5"/>
      <c r="P642" s="3" t="s">
        <v>74</v>
      </c>
      <c r="Q642" s="7"/>
      <c r="R642" s="7"/>
    </row>
    <row r="643" spans="1:18" ht="63.75" x14ac:dyDescent="0.25">
      <c r="A643" s="3" t="s">
        <v>18</v>
      </c>
      <c r="B643" s="3">
        <v>2013</v>
      </c>
      <c r="C643" s="3" t="s">
        <v>19</v>
      </c>
      <c r="D643" s="3" t="str">
        <f>"663α/ 2013"</f>
        <v>663α/ 2013</v>
      </c>
      <c r="E643" s="4">
        <v>41561</v>
      </c>
      <c r="F643" s="3" t="s">
        <v>1468</v>
      </c>
      <c r="G643" s="5"/>
      <c r="H643" s="3" t="s">
        <v>1469</v>
      </c>
      <c r="I643" s="3" t="str">
        <f>"21 / 25-09-2013"</f>
        <v>21 / 25-09-2013</v>
      </c>
      <c r="J643" s="4">
        <v>41542</v>
      </c>
      <c r="K643" s="6">
        <v>0.79166666666666663</v>
      </c>
      <c r="L643" s="5"/>
      <c r="M643" s="3" t="s">
        <v>1344</v>
      </c>
      <c r="N643" s="3" t="s">
        <v>1344</v>
      </c>
      <c r="O643" s="5"/>
      <c r="P643" s="3" t="s">
        <v>74</v>
      </c>
      <c r="Q643" s="7"/>
      <c r="R643" s="7"/>
    </row>
    <row r="644" spans="1:18" ht="114.75" x14ac:dyDescent="0.25">
      <c r="A644" s="3" t="s">
        <v>18</v>
      </c>
      <c r="B644" s="3">
        <v>2013</v>
      </c>
      <c r="C644" s="3" t="s">
        <v>19</v>
      </c>
      <c r="D644" s="3" t="str">
        <f>"664 / 2013"</f>
        <v>664 / 2013</v>
      </c>
      <c r="E644" s="4">
        <v>41548</v>
      </c>
      <c r="F644" s="3" t="s">
        <v>1470</v>
      </c>
      <c r="G644" s="5"/>
      <c r="H644" s="3" t="s">
        <v>1471</v>
      </c>
      <c r="I644" s="3" t="str">
        <f>"22 / 30-09-2013"</f>
        <v>22 / 30-09-2013</v>
      </c>
      <c r="J644" s="4">
        <v>41547</v>
      </c>
      <c r="K644" s="6">
        <v>0.83333333333333337</v>
      </c>
      <c r="L644" s="5"/>
      <c r="M644" s="3" t="s">
        <v>1472</v>
      </c>
      <c r="N644" s="3" t="s">
        <v>1473</v>
      </c>
      <c r="O644" s="5"/>
      <c r="P644" s="3" t="s">
        <v>22</v>
      </c>
      <c r="Q644" s="7"/>
      <c r="R644" s="7"/>
    </row>
    <row r="645" spans="1:18" ht="76.5" x14ac:dyDescent="0.25">
      <c r="A645" s="3" t="s">
        <v>18</v>
      </c>
      <c r="B645" s="3">
        <v>2013</v>
      </c>
      <c r="C645" s="3" t="s">
        <v>19</v>
      </c>
      <c r="D645" s="3" t="str">
        <f>"665 / 2013"</f>
        <v>665 / 2013</v>
      </c>
      <c r="E645" s="4">
        <v>41562</v>
      </c>
      <c r="F645" s="3" t="s">
        <v>1474</v>
      </c>
      <c r="G645" s="5"/>
      <c r="H645" s="3" t="s">
        <v>1475</v>
      </c>
      <c r="I645" s="3" t="str">
        <f>"24 / 10-10-2013"</f>
        <v>24 / 10-10-2013</v>
      </c>
      <c r="J645" s="4">
        <v>41557</v>
      </c>
      <c r="K645" s="6">
        <v>0.85416666666666663</v>
      </c>
      <c r="L645" s="3">
        <v>1</v>
      </c>
      <c r="M645" s="3" t="s">
        <v>56</v>
      </c>
      <c r="N645" s="3" t="s">
        <v>56</v>
      </c>
      <c r="O645" s="5"/>
      <c r="P645" s="3" t="s">
        <v>22</v>
      </c>
      <c r="Q645" s="7"/>
      <c r="R645" s="7"/>
    </row>
    <row r="646" spans="1:18" ht="51" x14ac:dyDescent="0.25">
      <c r="A646" s="3" t="s">
        <v>18</v>
      </c>
      <c r="B646" s="3">
        <v>2013</v>
      </c>
      <c r="C646" s="3" t="s">
        <v>19</v>
      </c>
      <c r="D646" s="3" t="str">
        <f>"666 / 2013"</f>
        <v>666 / 2013</v>
      </c>
      <c r="E646" s="4">
        <v>41582</v>
      </c>
      <c r="F646" s="3" t="s">
        <v>1476</v>
      </c>
      <c r="G646" s="5"/>
      <c r="H646" s="3" t="s">
        <v>1477</v>
      </c>
      <c r="I646" s="3" t="str">
        <f>"24 / 10-10-2013"</f>
        <v>24 / 10-10-2013</v>
      </c>
      <c r="J646" s="4">
        <v>41557</v>
      </c>
      <c r="K646" s="6">
        <v>0.85416666666666663</v>
      </c>
      <c r="L646" s="3">
        <v>2</v>
      </c>
      <c r="M646" s="3" t="s">
        <v>139</v>
      </c>
      <c r="N646" s="3" t="s">
        <v>139</v>
      </c>
      <c r="O646" s="5"/>
      <c r="P646" s="3" t="s">
        <v>22</v>
      </c>
      <c r="Q646" s="7"/>
      <c r="R646" s="7"/>
    </row>
    <row r="647" spans="1:18" ht="140.25" x14ac:dyDescent="0.25">
      <c r="A647" s="3" t="s">
        <v>18</v>
      </c>
      <c r="B647" s="3">
        <v>2013</v>
      </c>
      <c r="C647" s="3" t="s">
        <v>19</v>
      </c>
      <c r="D647" s="3" t="str">
        <f>"667 / 2013"</f>
        <v>667 / 2013</v>
      </c>
      <c r="E647" s="4">
        <v>41564</v>
      </c>
      <c r="F647" s="3" t="s">
        <v>1478</v>
      </c>
      <c r="G647" s="5"/>
      <c r="H647" s="3" t="s">
        <v>1479</v>
      </c>
      <c r="I647" s="3" t="str">
        <f>"24 / 10-10-2013"</f>
        <v>24 / 10-10-2013</v>
      </c>
      <c r="J647" s="4">
        <v>41557</v>
      </c>
      <c r="K647" s="6">
        <v>0.85416666666666663</v>
      </c>
      <c r="L647" s="3">
        <v>3</v>
      </c>
      <c r="M647" s="3" t="s">
        <v>324</v>
      </c>
      <c r="N647" s="3" t="s">
        <v>324</v>
      </c>
      <c r="O647" s="5"/>
      <c r="P647" s="3" t="s">
        <v>22</v>
      </c>
      <c r="Q647" s="7"/>
      <c r="R647" s="7"/>
    </row>
    <row r="648" spans="1:18" ht="153" x14ac:dyDescent="0.25">
      <c r="A648" s="3" t="s">
        <v>18</v>
      </c>
      <c r="B648" s="3">
        <v>2013</v>
      </c>
      <c r="C648" s="3" t="s">
        <v>19</v>
      </c>
      <c r="D648" s="3" t="str">
        <f>"668 / 2013"</f>
        <v>668 / 2013</v>
      </c>
      <c r="E648" s="4">
        <v>41569</v>
      </c>
      <c r="F648" s="3" t="s">
        <v>1480</v>
      </c>
      <c r="G648" s="5"/>
      <c r="H648" s="3" t="s">
        <v>1481</v>
      </c>
      <c r="I648" s="3" t="str">
        <f>"24 / 10-10-2013"</f>
        <v>24 / 10-10-2013</v>
      </c>
      <c r="J648" s="4">
        <v>41557</v>
      </c>
      <c r="K648" s="6">
        <v>0.85416666666666663</v>
      </c>
      <c r="L648" s="3">
        <v>4</v>
      </c>
      <c r="M648" s="3" t="s">
        <v>324</v>
      </c>
      <c r="N648" s="3" t="s">
        <v>324</v>
      </c>
      <c r="O648" s="5"/>
      <c r="P648" s="3" t="s">
        <v>22</v>
      </c>
      <c r="Q648" s="7"/>
      <c r="R648" s="7"/>
    </row>
    <row r="649" spans="1:18" ht="89.25" x14ac:dyDescent="0.25">
      <c r="A649" s="3" t="s">
        <v>18</v>
      </c>
      <c r="B649" s="3">
        <v>2013</v>
      </c>
      <c r="C649" s="3" t="s">
        <v>19</v>
      </c>
      <c r="D649" s="3" t="str">
        <f>"669 / 2013"</f>
        <v>669 / 2013</v>
      </c>
      <c r="E649" s="4">
        <v>41562</v>
      </c>
      <c r="F649" s="3" t="s">
        <v>1482</v>
      </c>
      <c r="G649" s="5"/>
      <c r="H649" s="3" t="s">
        <v>1483</v>
      </c>
      <c r="I649" s="3" t="str">
        <f>"24 / 10-10-2013"</f>
        <v>24 / 10-10-2013</v>
      </c>
      <c r="J649" s="4">
        <v>41557</v>
      </c>
      <c r="K649" s="6">
        <v>0.85416666666666663</v>
      </c>
      <c r="L649" s="3">
        <v>5</v>
      </c>
      <c r="M649" s="3" t="s">
        <v>324</v>
      </c>
      <c r="N649" s="3" t="s">
        <v>324</v>
      </c>
      <c r="O649" s="5"/>
      <c r="P649" s="3" t="s">
        <v>22</v>
      </c>
      <c r="Q649" s="7"/>
      <c r="R649" s="7"/>
    </row>
    <row r="650" spans="1:18" ht="63.75" x14ac:dyDescent="0.25">
      <c r="A650" s="3" t="s">
        <v>18</v>
      </c>
      <c r="B650" s="3">
        <v>2013</v>
      </c>
      <c r="C650" s="3" t="s">
        <v>19</v>
      </c>
      <c r="D650" s="3" t="str">
        <f>"67/2013"</f>
        <v>67/2013</v>
      </c>
      <c r="E650" s="4">
        <v>41325</v>
      </c>
      <c r="F650" s="3" t="s">
        <v>1484</v>
      </c>
      <c r="G650" s="5"/>
      <c r="H650" s="3" t="s">
        <v>1485</v>
      </c>
      <c r="I650" s="3" t="str">
        <f>"5/20-02-2013"</f>
        <v>5/20-02-2013</v>
      </c>
      <c r="J650" s="4">
        <v>41325</v>
      </c>
      <c r="K650" s="6">
        <v>0.79166666666666663</v>
      </c>
      <c r="L650" s="3">
        <v>17</v>
      </c>
      <c r="M650" s="5"/>
      <c r="N650" s="5"/>
      <c r="O650" s="5"/>
      <c r="P650" s="3" t="s">
        <v>22</v>
      </c>
      <c r="Q650" s="7"/>
      <c r="R650" s="7"/>
    </row>
    <row r="651" spans="1:18" ht="63.75" x14ac:dyDescent="0.25">
      <c r="A651" s="3" t="s">
        <v>18</v>
      </c>
      <c r="B651" s="3">
        <v>2013</v>
      </c>
      <c r="C651" s="3" t="s">
        <v>19</v>
      </c>
      <c r="D651" s="3" t="str">
        <f>"670 / 2013"</f>
        <v>670 / 2013</v>
      </c>
      <c r="E651" s="4">
        <v>41562</v>
      </c>
      <c r="F651" s="3" t="s">
        <v>1486</v>
      </c>
      <c r="G651" s="5"/>
      <c r="H651" s="3" t="s">
        <v>1487</v>
      </c>
      <c r="I651" s="3" t="str">
        <f t="shared" ref="I651:I660" si="46">"24 / 10-10-2013"</f>
        <v>24 / 10-10-2013</v>
      </c>
      <c r="J651" s="4">
        <v>41557</v>
      </c>
      <c r="K651" s="6">
        <v>0.85416666666666663</v>
      </c>
      <c r="L651" s="3">
        <v>5</v>
      </c>
      <c r="M651" s="3" t="s">
        <v>56</v>
      </c>
      <c r="N651" s="3" t="s">
        <v>56</v>
      </c>
      <c r="O651" s="5"/>
      <c r="P651" s="3" t="s">
        <v>22</v>
      </c>
      <c r="Q651" s="7"/>
      <c r="R651" s="7"/>
    </row>
    <row r="652" spans="1:18" ht="63.75" x14ac:dyDescent="0.25">
      <c r="A652" s="3" t="s">
        <v>18</v>
      </c>
      <c r="B652" s="3">
        <v>2013</v>
      </c>
      <c r="C652" s="3" t="s">
        <v>19</v>
      </c>
      <c r="D652" s="3" t="str">
        <f>"671 / 2013"</f>
        <v>671 / 2013</v>
      </c>
      <c r="E652" s="4">
        <v>41565</v>
      </c>
      <c r="F652" s="3" t="s">
        <v>1488</v>
      </c>
      <c r="G652" s="5"/>
      <c r="H652" s="3" t="s">
        <v>1489</v>
      </c>
      <c r="I652" s="3" t="str">
        <f t="shared" si="46"/>
        <v>24 / 10-10-2013</v>
      </c>
      <c r="J652" s="4">
        <v>41557</v>
      </c>
      <c r="K652" s="6">
        <v>0.85416666666666663</v>
      </c>
      <c r="L652" s="3">
        <v>6</v>
      </c>
      <c r="M652" s="3" t="s">
        <v>333</v>
      </c>
      <c r="N652" s="3" t="s">
        <v>333</v>
      </c>
      <c r="O652" s="5"/>
      <c r="P652" s="3" t="s">
        <v>22</v>
      </c>
      <c r="Q652" s="7"/>
      <c r="R652" s="7"/>
    </row>
    <row r="653" spans="1:18" ht="89.25" x14ac:dyDescent="0.25">
      <c r="A653" s="3" t="s">
        <v>18</v>
      </c>
      <c r="B653" s="3">
        <v>2013</v>
      </c>
      <c r="C653" s="3" t="s">
        <v>19</v>
      </c>
      <c r="D653" s="3" t="str">
        <f>"672 / 2013"</f>
        <v>672 / 2013</v>
      </c>
      <c r="E653" s="4">
        <v>41570</v>
      </c>
      <c r="F653" s="3" t="s">
        <v>1490</v>
      </c>
      <c r="G653" s="5"/>
      <c r="H653" s="3" t="s">
        <v>541</v>
      </c>
      <c r="I653" s="3" t="str">
        <f t="shared" si="46"/>
        <v>24 / 10-10-2013</v>
      </c>
      <c r="J653" s="4">
        <v>41557</v>
      </c>
      <c r="K653" s="6">
        <v>0.85416666666666663</v>
      </c>
      <c r="L653" s="3">
        <v>7</v>
      </c>
      <c r="M653" s="3" t="s">
        <v>542</v>
      </c>
      <c r="N653" s="3" t="s">
        <v>543</v>
      </c>
      <c r="O653" s="5"/>
      <c r="P653" s="3" t="s">
        <v>22</v>
      </c>
      <c r="Q653" s="7"/>
      <c r="R653" s="7"/>
    </row>
    <row r="654" spans="1:18" ht="89.25" x14ac:dyDescent="0.25">
      <c r="A654" s="3" t="s">
        <v>18</v>
      </c>
      <c r="B654" s="3">
        <v>2013</v>
      </c>
      <c r="C654" s="3" t="s">
        <v>19</v>
      </c>
      <c r="D654" s="3" t="str">
        <f>"673 / 2013"</f>
        <v>673 / 2013</v>
      </c>
      <c r="E654" s="4">
        <v>41582</v>
      </c>
      <c r="F654" s="3" t="s">
        <v>1491</v>
      </c>
      <c r="G654" s="5"/>
      <c r="H654" s="3" t="s">
        <v>541</v>
      </c>
      <c r="I654" s="3" t="str">
        <f t="shared" si="46"/>
        <v>24 / 10-10-2013</v>
      </c>
      <c r="J654" s="4">
        <v>41557</v>
      </c>
      <c r="K654" s="6">
        <v>0.85416666666666663</v>
      </c>
      <c r="L654" s="3">
        <v>7</v>
      </c>
      <c r="M654" s="3" t="s">
        <v>542</v>
      </c>
      <c r="N654" s="3" t="s">
        <v>543</v>
      </c>
      <c r="O654" s="5"/>
      <c r="P654" s="3" t="s">
        <v>22</v>
      </c>
      <c r="Q654" s="7"/>
      <c r="R654" s="7"/>
    </row>
    <row r="655" spans="1:18" ht="89.25" x14ac:dyDescent="0.25">
      <c r="A655" s="3" t="s">
        <v>18</v>
      </c>
      <c r="B655" s="3">
        <v>2013</v>
      </c>
      <c r="C655" s="3" t="s">
        <v>19</v>
      </c>
      <c r="D655" s="3" t="str">
        <f>"674 / 2013"</f>
        <v>674 / 2013</v>
      </c>
      <c r="E655" s="4">
        <v>41582</v>
      </c>
      <c r="F655" s="3" t="s">
        <v>1492</v>
      </c>
      <c r="G655" s="5"/>
      <c r="H655" s="3" t="s">
        <v>541</v>
      </c>
      <c r="I655" s="3" t="str">
        <f t="shared" si="46"/>
        <v>24 / 10-10-2013</v>
      </c>
      <c r="J655" s="4">
        <v>41557</v>
      </c>
      <c r="K655" s="6">
        <v>0.85416666666666663</v>
      </c>
      <c r="L655" s="3">
        <v>7</v>
      </c>
      <c r="M655" s="3" t="s">
        <v>542</v>
      </c>
      <c r="N655" s="3" t="s">
        <v>543</v>
      </c>
      <c r="O655" s="5"/>
      <c r="P655" s="3" t="s">
        <v>22</v>
      </c>
      <c r="Q655" s="7"/>
      <c r="R655" s="7"/>
    </row>
    <row r="656" spans="1:18" ht="178.5" x14ac:dyDescent="0.25">
      <c r="A656" s="3" t="s">
        <v>18</v>
      </c>
      <c r="B656" s="3">
        <v>2013</v>
      </c>
      <c r="C656" s="3" t="s">
        <v>19</v>
      </c>
      <c r="D656" s="3" t="str">
        <f>"675 / 2013"</f>
        <v>675 / 2013</v>
      </c>
      <c r="E656" s="4">
        <v>41583</v>
      </c>
      <c r="F656" s="3" t="s">
        <v>1493</v>
      </c>
      <c r="G656" s="5"/>
      <c r="H656" s="3" t="s">
        <v>1494</v>
      </c>
      <c r="I656" s="3" t="str">
        <f t="shared" si="46"/>
        <v>24 / 10-10-2013</v>
      </c>
      <c r="J656" s="4">
        <v>41557</v>
      </c>
      <c r="K656" s="6">
        <v>0.85416666666666663</v>
      </c>
      <c r="L656" s="3">
        <v>8</v>
      </c>
      <c r="M656" s="3" t="s">
        <v>728</v>
      </c>
      <c r="N656" s="5"/>
      <c r="O656" s="5"/>
      <c r="P656" s="3" t="s">
        <v>22</v>
      </c>
      <c r="Q656" s="7"/>
      <c r="R656" s="7"/>
    </row>
    <row r="657" spans="1:18" ht="127.5" x14ac:dyDescent="0.25">
      <c r="A657" s="3" t="s">
        <v>18</v>
      </c>
      <c r="B657" s="3">
        <v>2013</v>
      </c>
      <c r="C657" s="3" t="s">
        <v>19</v>
      </c>
      <c r="D657" s="3" t="str">
        <f>"676 / 2013"</f>
        <v>676 / 2013</v>
      </c>
      <c r="E657" s="4">
        <v>41583</v>
      </c>
      <c r="F657" s="3" t="s">
        <v>1495</v>
      </c>
      <c r="G657" s="5"/>
      <c r="H657" s="3" t="s">
        <v>1496</v>
      </c>
      <c r="I657" s="3" t="str">
        <f t="shared" si="46"/>
        <v>24 / 10-10-2013</v>
      </c>
      <c r="J657" s="4">
        <v>41557</v>
      </c>
      <c r="K657" s="6">
        <v>0.85416666666666663</v>
      </c>
      <c r="L657" s="3">
        <v>8</v>
      </c>
      <c r="M657" s="3" t="s">
        <v>728</v>
      </c>
      <c r="N657" s="5"/>
      <c r="O657" s="5"/>
      <c r="P657" s="3" t="s">
        <v>22</v>
      </c>
      <c r="Q657" s="7"/>
      <c r="R657" s="7"/>
    </row>
    <row r="658" spans="1:18" ht="127.5" x14ac:dyDescent="0.25">
      <c r="A658" s="3" t="s">
        <v>18</v>
      </c>
      <c r="B658" s="3">
        <v>2013</v>
      </c>
      <c r="C658" s="3" t="s">
        <v>19</v>
      </c>
      <c r="D658" s="3" t="str">
        <f>"677 / 2013"</f>
        <v>677 / 2013</v>
      </c>
      <c r="E658" s="4">
        <v>41583</v>
      </c>
      <c r="F658" s="3" t="s">
        <v>1497</v>
      </c>
      <c r="G658" s="5"/>
      <c r="H658" s="3" t="s">
        <v>1498</v>
      </c>
      <c r="I658" s="3" t="str">
        <f t="shared" si="46"/>
        <v>24 / 10-10-2013</v>
      </c>
      <c r="J658" s="4">
        <v>41557</v>
      </c>
      <c r="K658" s="6">
        <v>0.85416666666666663</v>
      </c>
      <c r="L658" s="3">
        <v>8</v>
      </c>
      <c r="M658" s="3" t="s">
        <v>728</v>
      </c>
      <c r="N658" s="5"/>
      <c r="O658" s="5"/>
      <c r="P658" s="3" t="s">
        <v>22</v>
      </c>
      <c r="Q658" s="7"/>
      <c r="R658" s="7"/>
    </row>
    <row r="659" spans="1:18" ht="114.75" x14ac:dyDescent="0.25">
      <c r="A659" s="3" t="s">
        <v>18</v>
      </c>
      <c r="B659" s="3">
        <v>2013</v>
      </c>
      <c r="C659" s="3" t="s">
        <v>19</v>
      </c>
      <c r="D659" s="3" t="str">
        <f>"678 / 2013"</f>
        <v>678 / 2013</v>
      </c>
      <c r="E659" s="4">
        <v>41563</v>
      </c>
      <c r="F659" s="3" t="s">
        <v>1499</v>
      </c>
      <c r="G659" s="5"/>
      <c r="H659" s="3" t="s">
        <v>1500</v>
      </c>
      <c r="I659" s="3" t="str">
        <f t="shared" si="46"/>
        <v>24 / 10-10-2013</v>
      </c>
      <c r="J659" s="4">
        <v>41557</v>
      </c>
      <c r="K659" s="6">
        <v>0.85416666666666663</v>
      </c>
      <c r="L659" s="3">
        <v>8</v>
      </c>
      <c r="M659" s="3" t="s">
        <v>728</v>
      </c>
      <c r="N659" s="5"/>
      <c r="O659" s="5"/>
      <c r="P659" s="3" t="s">
        <v>22</v>
      </c>
      <c r="Q659" s="7"/>
      <c r="R659" s="7"/>
    </row>
    <row r="660" spans="1:18" ht="140.25" x14ac:dyDescent="0.25">
      <c r="A660" s="3" t="s">
        <v>18</v>
      </c>
      <c r="B660" s="3">
        <v>2013</v>
      </c>
      <c r="C660" s="3" t="s">
        <v>19</v>
      </c>
      <c r="D660" s="3" t="str">
        <f>"679 / 2013"</f>
        <v>679 / 2013</v>
      </c>
      <c r="E660" s="4">
        <v>41585</v>
      </c>
      <c r="F660" s="3" t="s">
        <v>1501</v>
      </c>
      <c r="G660" s="5"/>
      <c r="H660" s="3" t="s">
        <v>1502</v>
      </c>
      <c r="I660" s="3" t="str">
        <f t="shared" si="46"/>
        <v>24 / 10-10-2013</v>
      </c>
      <c r="J660" s="4">
        <v>41557</v>
      </c>
      <c r="K660" s="6">
        <v>0.85416666666666663</v>
      </c>
      <c r="L660" s="3">
        <v>8</v>
      </c>
      <c r="M660" s="3" t="s">
        <v>728</v>
      </c>
      <c r="N660" s="5"/>
      <c r="O660" s="5"/>
      <c r="P660" s="3" t="s">
        <v>22</v>
      </c>
      <c r="Q660" s="7"/>
      <c r="R660" s="7"/>
    </row>
    <row r="661" spans="1:18" ht="63.75" x14ac:dyDescent="0.25">
      <c r="A661" s="3" t="s">
        <v>18</v>
      </c>
      <c r="B661" s="3">
        <v>2013</v>
      </c>
      <c r="C661" s="3" t="s">
        <v>19</v>
      </c>
      <c r="D661" s="3" t="str">
        <f>"68/2013"</f>
        <v>68/2013</v>
      </c>
      <c r="E661" s="4">
        <v>41325</v>
      </c>
      <c r="F661" s="3" t="s">
        <v>1503</v>
      </c>
      <c r="G661" s="5"/>
      <c r="H661" s="3" t="s">
        <v>1504</v>
      </c>
      <c r="I661" s="3" t="str">
        <f>"5/20-02-2013"</f>
        <v>5/20-02-2013</v>
      </c>
      <c r="J661" s="4">
        <v>41325</v>
      </c>
      <c r="K661" s="6">
        <v>0.79166666666666663</v>
      </c>
      <c r="L661" s="3">
        <v>17</v>
      </c>
      <c r="M661" s="5"/>
      <c r="N661" s="5"/>
      <c r="O661" s="5"/>
      <c r="P661" s="3" t="s">
        <v>22</v>
      </c>
      <c r="Q661" s="7"/>
      <c r="R661" s="7"/>
    </row>
    <row r="662" spans="1:18" ht="114.75" x14ac:dyDescent="0.25">
      <c r="A662" s="3" t="s">
        <v>18</v>
      </c>
      <c r="B662" s="3">
        <v>2013</v>
      </c>
      <c r="C662" s="3" t="s">
        <v>19</v>
      </c>
      <c r="D662" s="3" t="str">
        <f>"680 / 2013"</f>
        <v>680 / 2013</v>
      </c>
      <c r="E662" s="4">
        <v>41561</v>
      </c>
      <c r="F662" s="3" t="s">
        <v>1505</v>
      </c>
      <c r="G662" s="5"/>
      <c r="H662" s="3" t="s">
        <v>1506</v>
      </c>
      <c r="I662" s="3" t="str">
        <f t="shared" ref="I662:I671" si="47">"24 / 10-10-2013"</f>
        <v>24 / 10-10-2013</v>
      </c>
      <c r="J662" s="4">
        <v>41557</v>
      </c>
      <c r="K662" s="6">
        <v>0.85416666666666663</v>
      </c>
      <c r="L662" s="3">
        <v>10</v>
      </c>
      <c r="M662" s="3" t="s">
        <v>525</v>
      </c>
      <c r="N662" s="3" t="s">
        <v>525</v>
      </c>
      <c r="O662" s="5"/>
      <c r="P662" s="3" t="s">
        <v>22</v>
      </c>
      <c r="Q662" s="7"/>
      <c r="R662" s="7"/>
    </row>
    <row r="663" spans="1:18" ht="38.25" x14ac:dyDescent="0.25">
      <c r="A663" s="3" t="s">
        <v>18</v>
      </c>
      <c r="B663" s="3">
        <v>2013</v>
      </c>
      <c r="C663" s="3" t="s">
        <v>19</v>
      </c>
      <c r="D663" s="3" t="str">
        <f>"681 / 2013"</f>
        <v>681 / 2013</v>
      </c>
      <c r="E663" s="4">
        <v>41561</v>
      </c>
      <c r="F663" s="3" t="s">
        <v>1507</v>
      </c>
      <c r="G663" s="5"/>
      <c r="H663" s="3" t="s">
        <v>1508</v>
      </c>
      <c r="I663" s="3" t="str">
        <f t="shared" si="47"/>
        <v>24 / 10-10-2013</v>
      </c>
      <c r="J663" s="4">
        <v>41557</v>
      </c>
      <c r="K663" s="6">
        <v>0.85416666666666663</v>
      </c>
      <c r="L663" s="3">
        <v>10</v>
      </c>
      <c r="M663" s="3" t="s">
        <v>50</v>
      </c>
      <c r="N663" s="3" t="s">
        <v>50</v>
      </c>
      <c r="O663" s="5"/>
      <c r="P663" s="3" t="s">
        <v>22</v>
      </c>
      <c r="Q663" s="7"/>
      <c r="R663" s="7"/>
    </row>
    <row r="664" spans="1:18" ht="229.5" x14ac:dyDescent="0.25">
      <c r="A664" s="3" t="s">
        <v>18</v>
      </c>
      <c r="B664" s="3">
        <v>2013</v>
      </c>
      <c r="C664" s="3" t="s">
        <v>19</v>
      </c>
      <c r="D664" s="3" t="str">
        <f>"682 / 2013"</f>
        <v>682 / 2013</v>
      </c>
      <c r="E664" s="4">
        <v>41562</v>
      </c>
      <c r="F664" s="3" t="s">
        <v>1509</v>
      </c>
      <c r="G664" s="5"/>
      <c r="H664" s="3" t="s">
        <v>1510</v>
      </c>
      <c r="I664" s="3" t="str">
        <f t="shared" si="47"/>
        <v>24 / 10-10-2013</v>
      </c>
      <c r="J664" s="4">
        <v>41557</v>
      </c>
      <c r="K664" s="6">
        <v>0.85416666666666663</v>
      </c>
      <c r="L664" s="3">
        <v>10</v>
      </c>
      <c r="M664" s="3" t="s">
        <v>50</v>
      </c>
      <c r="N664" s="3" t="s">
        <v>50</v>
      </c>
      <c r="O664" s="5"/>
      <c r="P664" s="3" t="s">
        <v>22</v>
      </c>
      <c r="Q664" s="7"/>
      <c r="R664" s="7"/>
    </row>
    <row r="665" spans="1:18" ht="51" x14ac:dyDescent="0.25">
      <c r="A665" s="3" t="s">
        <v>18</v>
      </c>
      <c r="B665" s="3">
        <v>2013</v>
      </c>
      <c r="C665" s="3" t="s">
        <v>19</v>
      </c>
      <c r="D665" s="3" t="str">
        <f>"683 / 2013"</f>
        <v>683 / 2013</v>
      </c>
      <c r="E665" s="4">
        <v>41561</v>
      </c>
      <c r="F665" s="3" t="s">
        <v>1511</v>
      </c>
      <c r="G665" s="5"/>
      <c r="H665" s="3" t="s">
        <v>1512</v>
      </c>
      <c r="I665" s="3" t="str">
        <f t="shared" si="47"/>
        <v>24 / 10-10-2013</v>
      </c>
      <c r="J665" s="4">
        <v>41557</v>
      </c>
      <c r="K665" s="6">
        <v>0.85416666666666663</v>
      </c>
      <c r="L665" s="3">
        <v>10</v>
      </c>
      <c r="M665" s="3" t="s">
        <v>757</v>
      </c>
      <c r="N665" s="3" t="s">
        <v>757</v>
      </c>
      <c r="O665" s="5"/>
      <c r="P665" s="3" t="s">
        <v>22</v>
      </c>
      <c r="Q665" s="7"/>
      <c r="R665" s="7"/>
    </row>
    <row r="666" spans="1:18" ht="76.5" x14ac:dyDescent="0.25">
      <c r="A666" s="3" t="s">
        <v>18</v>
      </c>
      <c r="B666" s="3">
        <v>2013</v>
      </c>
      <c r="C666" s="3" t="s">
        <v>19</v>
      </c>
      <c r="D666" s="3" t="str">
        <f>"684 / 2013"</f>
        <v>684 / 2013</v>
      </c>
      <c r="E666" s="4">
        <v>41563</v>
      </c>
      <c r="F666" s="3" t="s">
        <v>1513</v>
      </c>
      <c r="G666" s="5"/>
      <c r="H666" s="3" t="s">
        <v>1514</v>
      </c>
      <c r="I666" s="3" t="str">
        <f t="shared" si="47"/>
        <v>24 / 10-10-2013</v>
      </c>
      <c r="J666" s="4">
        <v>41557</v>
      </c>
      <c r="K666" s="6">
        <v>0.85416666666666663</v>
      </c>
      <c r="L666" s="3">
        <v>11</v>
      </c>
      <c r="M666" s="3" t="s">
        <v>534</v>
      </c>
      <c r="N666" s="3" t="s">
        <v>534</v>
      </c>
      <c r="O666" s="5"/>
      <c r="P666" s="3" t="s">
        <v>22</v>
      </c>
      <c r="Q666" s="7"/>
      <c r="R666" s="7"/>
    </row>
    <row r="667" spans="1:18" ht="76.5" x14ac:dyDescent="0.25">
      <c r="A667" s="3" t="s">
        <v>18</v>
      </c>
      <c r="B667" s="3">
        <v>2013</v>
      </c>
      <c r="C667" s="3" t="s">
        <v>19</v>
      </c>
      <c r="D667" s="3" t="str">
        <f>"685 / 2013"</f>
        <v>685 / 2013</v>
      </c>
      <c r="E667" s="4">
        <v>41564</v>
      </c>
      <c r="F667" s="3" t="s">
        <v>1515</v>
      </c>
      <c r="G667" s="5"/>
      <c r="H667" s="3" t="s">
        <v>1516</v>
      </c>
      <c r="I667" s="3" t="str">
        <f t="shared" si="47"/>
        <v>24 / 10-10-2013</v>
      </c>
      <c r="J667" s="4">
        <v>41557</v>
      </c>
      <c r="K667" s="6">
        <v>0.85416666666666663</v>
      </c>
      <c r="L667" s="3">
        <v>11</v>
      </c>
      <c r="M667" s="3" t="s">
        <v>534</v>
      </c>
      <c r="N667" s="3" t="s">
        <v>534</v>
      </c>
      <c r="O667" s="5"/>
      <c r="P667" s="3" t="s">
        <v>22</v>
      </c>
      <c r="Q667" s="7"/>
      <c r="R667" s="7"/>
    </row>
    <row r="668" spans="1:18" ht="76.5" x14ac:dyDescent="0.25">
      <c r="A668" s="3" t="s">
        <v>18</v>
      </c>
      <c r="B668" s="3">
        <v>2013</v>
      </c>
      <c r="C668" s="3" t="s">
        <v>19</v>
      </c>
      <c r="D668" s="3" t="str">
        <f>"686 / 2013"</f>
        <v>686 / 2013</v>
      </c>
      <c r="E668" s="4">
        <v>41565</v>
      </c>
      <c r="F668" s="3" t="s">
        <v>1517</v>
      </c>
      <c r="G668" s="5"/>
      <c r="H668" s="3" t="s">
        <v>1518</v>
      </c>
      <c r="I668" s="3" t="str">
        <f t="shared" si="47"/>
        <v>24 / 10-10-2013</v>
      </c>
      <c r="J668" s="4">
        <v>41557</v>
      </c>
      <c r="K668" s="6">
        <v>0.85416666666666663</v>
      </c>
      <c r="L668" s="3">
        <v>11</v>
      </c>
      <c r="M668" s="3" t="s">
        <v>534</v>
      </c>
      <c r="N668" s="3" t="s">
        <v>534</v>
      </c>
      <c r="O668" s="5"/>
      <c r="P668" s="3" t="s">
        <v>22</v>
      </c>
      <c r="Q668" s="7"/>
      <c r="R668" s="7"/>
    </row>
    <row r="669" spans="1:18" ht="76.5" x14ac:dyDescent="0.25">
      <c r="A669" s="3" t="s">
        <v>18</v>
      </c>
      <c r="B669" s="3">
        <v>2013</v>
      </c>
      <c r="C669" s="3" t="s">
        <v>19</v>
      </c>
      <c r="D669" s="3" t="str">
        <f>"687 / 2013"</f>
        <v>687 / 2013</v>
      </c>
      <c r="E669" s="4">
        <v>41568</v>
      </c>
      <c r="F669" s="3" t="s">
        <v>1519</v>
      </c>
      <c r="G669" s="5"/>
      <c r="H669" s="3" t="s">
        <v>1520</v>
      </c>
      <c r="I669" s="3" t="str">
        <f t="shared" si="47"/>
        <v>24 / 10-10-2013</v>
      </c>
      <c r="J669" s="4">
        <v>41557</v>
      </c>
      <c r="K669" s="6">
        <v>0.85416666666666663</v>
      </c>
      <c r="L669" s="3">
        <v>11</v>
      </c>
      <c r="M669" s="3" t="s">
        <v>534</v>
      </c>
      <c r="N669" s="3" t="s">
        <v>534</v>
      </c>
      <c r="O669" s="5"/>
      <c r="P669" s="3" t="s">
        <v>22</v>
      </c>
      <c r="Q669" s="7"/>
      <c r="R669" s="7"/>
    </row>
    <row r="670" spans="1:18" ht="76.5" x14ac:dyDescent="0.25">
      <c r="A670" s="3" t="s">
        <v>18</v>
      </c>
      <c r="B670" s="3">
        <v>2013</v>
      </c>
      <c r="C670" s="3" t="s">
        <v>19</v>
      </c>
      <c r="D670" s="3" t="str">
        <f>"688 / 2013"</f>
        <v>688 / 2013</v>
      </c>
      <c r="E670" s="4">
        <v>41562</v>
      </c>
      <c r="F670" s="3" t="s">
        <v>1521</v>
      </c>
      <c r="G670" s="5"/>
      <c r="H670" s="3" t="s">
        <v>1522</v>
      </c>
      <c r="I670" s="3" t="str">
        <f t="shared" si="47"/>
        <v>24 / 10-10-2013</v>
      </c>
      <c r="J670" s="4">
        <v>41557</v>
      </c>
      <c r="K670" s="6">
        <v>0.85416666666666663</v>
      </c>
      <c r="L670" s="3">
        <v>11</v>
      </c>
      <c r="M670" s="3" t="s">
        <v>1523</v>
      </c>
      <c r="N670" s="3" t="s">
        <v>1523</v>
      </c>
      <c r="O670" s="5"/>
      <c r="P670" s="3" t="s">
        <v>22</v>
      </c>
      <c r="Q670" s="7"/>
      <c r="R670" s="7"/>
    </row>
    <row r="671" spans="1:18" ht="127.5" x14ac:dyDescent="0.25">
      <c r="A671" s="3" t="s">
        <v>18</v>
      </c>
      <c r="B671" s="3">
        <v>2013</v>
      </c>
      <c r="C671" s="3" t="s">
        <v>19</v>
      </c>
      <c r="D671" s="3" t="str">
        <f>"689 / 2013"</f>
        <v>689 / 2013</v>
      </c>
      <c r="E671" s="4">
        <v>41565</v>
      </c>
      <c r="F671" s="3" t="s">
        <v>1524</v>
      </c>
      <c r="G671" s="5"/>
      <c r="H671" s="3" t="s">
        <v>1525</v>
      </c>
      <c r="I671" s="3" t="str">
        <f t="shared" si="47"/>
        <v>24 / 10-10-2013</v>
      </c>
      <c r="J671" s="4">
        <v>41557</v>
      </c>
      <c r="K671" s="6">
        <v>0.85416666666666663</v>
      </c>
      <c r="L671" s="3">
        <v>12</v>
      </c>
      <c r="M671" s="3" t="s">
        <v>330</v>
      </c>
      <c r="N671" s="3" t="s">
        <v>330</v>
      </c>
      <c r="O671" s="5"/>
      <c r="P671" s="3" t="s">
        <v>22</v>
      </c>
      <c r="Q671" s="7"/>
      <c r="R671" s="7"/>
    </row>
    <row r="672" spans="1:18" ht="76.5" x14ac:dyDescent="0.25">
      <c r="A672" s="3" t="s">
        <v>18</v>
      </c>
      <c r="B672" s="3">
        <v>2013</v>
      </c>
      <c r="C672" s="3" t="s">
        <v>19</v>
      </c>
      <c r="D672" s="3" t="str">
        <f>"69/2013"</f>
        <v>69/2013</v>
      </c>
      <c r="E672" s="4">
        <v>41325</v>
      </c>
      <c r="F672" s="3" t="s">
        <v>1526</v>
      </c>
      <c r="G672" s="5"/>
      <c r="H672" s="3" t="s">
        <v>1527</v>
      </c>
      <c r="I672" s="3" t="str">
        <f>"5/20-02-2013"</f>
        <v>5/20-02-2013</v>
      </c>
      <c r="J672" s="4">
        <v>41325</v>
      </c>
      <c r="K672" s="6">
        <v>0.79166666666666663</v>
      </c>
      <c r="L672" s="3">
        <v>18</v>
      </c>
      <c r="M672" s="3" t="s">
        <v>1528</v>
      </c>
      <c r="N672" s="3" t="s">
        <v>1528</v>
      </c>
      <c r="O672" s="5"/>
      <c r="P672" s="3" t="s">
        <v>22</v>
      </c>
      <c r="Q672" s="7"/>
      <c r="R672" s="7"/>
    </row>
    <row r="673" spans="1:18" ht="114.75" x14ac:dyDescent="0.25">
      <c r="A673" s="3" t="s">
        <v>18</v>
      </c>
      <c r="B673" s="3">
        <v>2013</v>
      </c>
      <c r="C673" s="3" t="s">
        <v>19</v>
      </c>
      <c r="D673" s="3" t="str">
        <f>"690 / 2013"</f>
        <v>690 / 2013</v>
      </c>
      <c r="E673" s="4">
        <v>41564</v>
      </c>
      <c r="F673" s="3" t="s">
        <v>1529</v>
      </c>
      <c r="G673" s="5"/>
      <c r="H673" s="3" t="s">
        <v>1530</v>
      </c>
      <c r="I673" s="3" t="str">
        <f t="shared" ref="I673:I682" si="48">"24 / 10-10-2013"</f>
        <v>24 / 10-10-2013</v>
      </c>
      <c r="J673" s="4">
        <v>41557</v>
      </c>
      <c r="K673" s="6">
        <v>0.85416666666666663</v>
      </c>
      <c r="L673" s="3">
        <v>13</v>
      </c>
      <c r="M673" s="3" t="s">
        <v>324</v>
      </c>
      <c r="N673" s="3" t="s">
        <v>324</v>
      </c>
      <c r="O673" s="5"/>
      <c r="P673" s="3" t="s">
        <v>22</v>
      </c>
      <c r="Q673" s="7"/>
      <c r="R673" s="7"/>
    </row>
    <row r="674" spans="1:18" ht="76.5" x14ac:dyDescent="0.25">
      <c r="A674" s="3" t="s">
        <v>18</v>
      </c>
      <c r="B674" s="3">
        <v>2013</v>
      </c>
      <c r="C674" s="3" t="s">
        <v>19</v>
      </c>
      <c r="D674" s="3" t="str">
        <f>"691 / 2013"</f>
        <v>691 / 2013</v>
      </c>
      <c r="E674" s="4">
        <v>41598</v>
      </c>
      <c r="F674" s="3" t="s">
        <v>1531</v>
      </c>
      <c r="G674" s="5"/>
      <c r="H674" s="3" t="s">
        <v>1532</v>
      </c>
      <c r="I674" s="3" t="str">
        <f t="shared" si="48"/>
        <v>24 / 10-10-2013</v>
      </c>
      <c r="J674" s="4">
        <v>41557</v>
      </c>
      <c r="K674" s="6">
        <v>0.85416666666666663</v>
      </c>
      <c r="L674" s="3">
        <v>14</v>
      </c>
      <c r="M674" s="3" t="s">
        <v>1533</v>
      </c>
      <c r="N674" s="3" t="s">
        <v>1533</v>
      </c>
      <c r="O674" s="5"/>
      <c r="P674" s="3" t="s">
        <v>22</v>
      </c>
      <c r="Q674" s="7"/>
      <c r="R674" s="7"/>
    </row>
    <row r="675" spans="1:18" ht="89.25" x14ac:dyDescent="0.25">
      <c r="A675" s="3" t="s">
        <v>18</v>
      </c>
      <c r="B675" s="3">
        <v>2013</v>
      </c>
      <c r="C675" s="3" t="s">
        <v>19</v>
      </c>
      <c r="D675" s="3" t="str">
        <f>"692 / 2013"</f>
        <v>692 / 2013</v>
      </c>
      <c r="E675" s="4">
        <v>41568</v>
      </c>
      <c r="F675" s="3" t="s">
        <v>1534</v>
      </c>
      <c r="G675" s="5"/>
      <c r="H675" s="3" t="s">
        <v>1535</v>
      </c>
      <c r="I675" s="3" t="str">
        <f t="shared" si="48"/>
        <v>24 / 10-10-2013</v>
      </c>
      <c r="J675" s="4">
        <v>41557</v>
      </c>
      <c r="K675" s="6">
        <v>0.85416666666666663</v>
      </c>
      <c r="L675" s="3">
        <v>15</v>
      </c>
      <c r="M675" s="3" t="s">
        <v>670</v>
      </c>
      <c r="N675" s="3" t="s">
        <v>670</v>
      </c>
      <c r="O675" s="5"/>
      <c r="P675" s="3" t="s">
        <v>22</v>
      </c>
      <c r="Q675" s="7"/>
      <c r="R675" s="7"/>
    </row>
    <row r="676" spans="1:18" ht="63.75" x14ac:dyDescent="0.25">
      <c r="A676" s="3" t="s">
        <v>18</v>
      </c>
      <c r="B676" s="3">
        <v>2013</v>
      </c>
      <c r="C676" s="3" t="s">
        <v>19</v>
      </c>
      <c r="D676" s="3" t="str">
        <f>"693 / 2013"</f>
        <v>693 / 2013</v>
      </c>
      <c r="E676" s="4">
        <v>41569</v>
      </c>
      <c r="F676" s="3" t="s">
        <v>1536</v>
      </c>
      <c r="G676" s="5"/>
      <c r="H676" s="3" t="s">
        <v>1537</v>
      </c>
      <c r="I676" s="3" t="str">
        <f t="shared" si="48"/>
        <v>24 / 10-10-2013</v>
      </c>
      <c r="J676" s="4">
        <v>41557</v>
      </c>
      <c r="K676" s="6">
        <v>0.85416666666666663</v>
      </c>
      <c r="L676" s="3">
        <v>16</v>
      </c>
      <c r="M676" s="3" t="s">
        <v>1538</v>
      </c>
      <c r="N676" s="3" t="s">
        <v>1538</v>
      </c>
      <c r="O676" s="5"/>
      <c r="P676" s="3" t="s">
        <v>22</v>
      </c>
      <c r="Q676" s="7"/>
      <c r="R676" s="7"/>
    </row>
    <row r="677" spans="1:18" ht="89.25" x14ac:dyDescent="0.25">
      <c r="A677" s="3" t="s">
        <v>18</v>
      </c>
      <c r="B677" s="3">
        <v>2013</v>
      </c>
      <c r="C677" s="3" t="s">
        <v>19</v>
      </c>
      <c r="D677" s="3" t="str">
        <f>"694 / 2013"</f>
        <v>694 / 2013</v>
      </c>
      <c r="E677" s="4">
        <v>41577</v>
      </c>
      <c r="F677" s="3" t="s">
        <v>1539</v>
      </c>
      <c r="G677" s="5"/>
      <c r="H677" s="3" t="s">
        <v>1540</v>
      </c>
      <c r="I677" s="3" t="str">
        <f t="shared" si="48"/>
        <v>24 / 10-10-2013</v>
      </c>
      <c r="J677" s="4">
        <v>41557</v>
      </c>
      <c r="K677" s="6">
        <v>0.85416666666666663</v>
      </c>
      <c r="L677" s="3">
        <v>17</v>
      </c>
      <c r="M677" s="3" t="s">
        <v>1541</v>
      </c>
      <c r="N677" s="3" t="s">
        <v>1541</v>
      </c>
      <c r="O677" s="5"/>
      <c r="P677" s="3" t="s">
        <v>22</v>
      </c>
      <c r="Q677" s="7"/>
      <c r="R677" s="7"/>
    </row>
    <row r="678" spans="1:18" ht="89.25" x14ac:dyDescent="0.25">
      <c r="A678" s="3" t="s">
        <v>18</v>
      </c>
      <c r="B678" s="3">
        <v>2013</v>
      </c>
      <c r="C678" s="3" t="s">
        <v>19</v>
      </c>
      <c r="D678" s="3" t="str">
        <f>"695 / 2013"</f>
        <v>695 / 2013</v>
      </c>
      <c r="E678" s="4">
        <v>41578</v>
      </c>
      <c r="F678" s="3" t="s">
        <v>1542</v>
      </c>
      <c r="G678" s="5"/>
      <c r="H678" s="3" t="s">
        <v>1543</v>
      </c>
      <c r="I678" s="3" t="str">
        <f t="shared" si="48"/>
        <v>24 / 10-10-2013</v>
      </c>
      <c r="J678" s="4">
        <v>41557</v>
      </c>
      <c r="K678" s="6">
        <v>0.85416666666666663</v>
      </c>
      <c r="L678" s="3">
        <v>18</v>
      </c>
      <c r="M678" s="3" t="s">
        <v>1544</v>
      </c>
      <c r="N678" s="3" t="s">
        <v>1544</v>
      </c>
      <c r="O678" s="5"/>
      <c r="P678" s="3" t="s">
        <v>22</v>
      </c>
      <c r="Q678" s="7"/>
      <c r="R678" s="7"/>
    </row>
    <row r="679" spans="1:18" ht="51" x14ac:dyDescent="0.25">
      <c r="A679" s="3" t="s">
        <v>18</v>
      </c>
      <c r="B679" s="3">
        <v>2013</v>
      </c>
      <c r="C679" s="3" t="s">
        <v>19</v>
      </c>
      <c r="D679" s="3" t="str">
        <f>"696 / 2013"</f>
        <v>696 / 2013</v>
      </c>
      <c r="E679" s="4">
        <v>41558</v>
      </c>
      <c r="F679" s="3" t="s">
        <v>1545</v>
      </c>
      <c r="G679" s="5"/>
      <c r="H679" s="3" t="s">
        <v>1546</v>
      </c>
      <c r="I679" s="3" t="str">
        <f t="shared" si="48"/>
        <v>24 / 10-10-2013</v>
      </c>
      <c r="J679" s="4">
        <v>41557</v>
      </c>
      <c r="K679" s="6">
        <v>0.85416666666666663</v>
      </c>
      <c r="L679" s="3">
        <v>19</v>
      </c>
      <c r="M679" s="3" t="s">
        <v>56</v>
      </c>
      <c r="N679" s="3" t="s">
        <v>56</v>
      </c>
      <c r="O679" s="5"/>
      <c r="P679" s="3" t="s">
        <v>22</v>
      </c>
      <c r="Q679" s="7"/>
      <c r="R679" s="7"/>
    </row>
    <row r="680" spans="1:18" ht="51" x14ac:dyDescent="0.25">
      <c r="A680" s="3" t="s">
        <v>18</v>
      </c>
      <c r="B680" s="3">
        <v>2013</v>
      </c>
      <c r="C680" s="3" t="s">
        <v>19</v>
      </c>
      <c r="D680" s="3" t="str">
        <f>"697 / 2013"</f>
        <v>697 / 2013</v>
      </c>
      <c r="E680" s="4">
        <v>41562</v>
      </c>
      <c r="F680" s="3" t="s">
        <v>1547</v>
      </c>
      <c r="G680" s="5"/>
      <c r="H680" s="3" t="s">
        <v>1548</v>
      </c>
      <c r="I680" s="3" t="str">
        <f t="shared" si="48"/>
        <v>24 / 10-10-2013</v>
      </c>
      <c r="J680" s="4">
        <v>41557</v>
      </c>
      <c r="K680" s="6">
        <v>0.85416666666666663</v>
      </c>
      <c r="L680" s="3">
        <v>20</v>
      </c>
      <c r="M680" s="3" t="s">
        <v>784</v>
      </c>
      <c r="N680" s="3" t="s">
        <v>784</v>
      </c>
      <c r="O680" s="5"/>
      <c r="P680" s="3" t="s">
        <v>22</v>
      </c>
      <c r="Q680" s="7"/>
      <c r="R680" s="7"/>
    </row>
    <row r="681" spans="1:18" ht="63.75" x14ac:dyDescent="0.25">
      <c r="A681" s="3" t="s">
        <v>18</v>
      </c>
      <c r="B681" s="3">
        <v>2013</v>
      </c>
      <c r="C681" s="3" t="s">
        <v>19</v>
      </c>
      <c r="D681" s="3" t="str">
        <f>"698 / 2013"</f>
        <v>698 / 2013</v>
      </c>
      <c r="E681" s="4">
        <v>41568</v>
      </c>
      <c r="F681" s="3" t="s">
        <v>1549</v>
      </c>
      <c r="G681" s="5"/>
      <c r="H681" s="3" t="s">
        <v>1550</v>
      </c>
      <c r="I681" s="3" t="str">
        <f t="shared" si="48"/>
        <v>24 / 10-10-2013</v>
      </c>
      <c r="J681" s="4">
        <v>41557</v>
      </c>
      <c r="K681" s="6">
        <v>0.85416666666666663</v>
      </c>
      <c r="L681" s="3">
        <v>21</v>
      </c>
      <c r="M681" s="3" t="s">
        <v>1551</v>
      </c>
      <c r="N681" s="5"/>
      <c r="O681" s="5"/>
      <c r="P681" s="3" t="s">
        <v>22</v>
      </c>
      <c r="Q681" s="7"/>
      <c r="R681" s="7"/>
    </row>
    <row r="682" spans="1:18" ht="51" x14ac:dyDescent="0.25">
      <c r="A682" s="3" t="s">
        <v>18</v>
      </c>
      <c r="B682" s="3">
        <v>2013</v>
      </c>
      <c r="C682" s="3" t="s">
        <v>19</v>
      </c>
      <c r="D682" s="3" t="str">
        <f>"699 / 2013"</f>
        <v>699 / 2013</v>
      </c>
      <c r="E682" s="4">
        <v>41568</v>
      </c>
      <c r="F682" s="3" t="s">
        <v>1552</v>
      </c>
      <c r="G682" s="5"/>
      <c r="H682" s="3" t="s">
        <v>1553</v>
      </c>
      <c r="I682" s="3" t="str">
        <f t="shared" si="48"/>
        <v>24 / 10-10-2013</v>
      </c>
      <c r="J682" s="4">
        <v>41557</v>
      </c>
      <c r="K682" s="6">
        <v>0.85416666666666663</v>
      </c>
      <c r="L682" s="3">
        <v>22</v>
      </c>
      <c r="M682" s="3" t="s">
        <v>56</v>
      </c>
      <c r="N682" s="3" t="s">
        <v>56</v>
      </c>
      <c r="O682" s="5"/>
      <c r="P682" s="3" t="s">
        <v>22</v>
      </c>
      <c r="Q682" s="7"/>
      <c r="R682" s="7"/>
    </row>
    <row r="683" spans="1:18" ht="76.5" x14ac:dyDescent="0.25">
      <c r="A683" s="3" t="s">
        <v>18</v>
      </c>
      <c r="B683" s="3">
        <v>2013</v>
      </c>
      <c r="C683" s="3" t="s">
        <v>19</v>
      </c>
      <c r="D683" s="3" t="str">
        <f>"70/2013"</f>
        <v>70/2013</v>
      </c>
      <c r="E683" s="4">
        <v>41325</v>
      </c>
      <c r="F683" s="3" t="s">
        <v>1554</v>
      </c>
      <c r="G683" s="5"/>
      <c r="H683" s="3" t="s">
        <v>1555</v>
      </c>
      <c r="I683" s="3" t="str">
        <f>"5/20-02-2013"</f>
        <v>5/20-02-2013</v>
      </c>
      <c r="J683" s="4">
        <v>41325</v>
      </c>
      <c r="K683" s="6">
        <v>0.79166666666666663</v>
      </c>
      <c r="L683" s="3">
        <v>19</v>
      </c>
      <c r="M683" s="3" t="s">
        <v>1528</v>
      </c>
      <c r="N683" s="3" t="s">
        <v>1528</v>
      </c>
      <c r="O683" s="5"/>
      <c r="P683" s="3" t="s">
        <v>22</v>
      </c>
      <c r="Q683" s="7"/>
      <c r="R683" s="7"/>
    </row>
    <row r="684" spans="1:18" ht="51" x14ac:dyDescent="0.25">
      <c r="A684" s="3" t="s">
        <v>18</v>
      </c>
      <c r="B684" s="3">
        <v>2013</v>
      </c>
      <c r="C684" s="3" t="s">
        <v>19</v>
      </c>
      <c r="D684" s="3" t="str">
        <f>"700 / 2013"</f>
        <v>700 / 2013</v>
      </c>
      <c r="E684" s="4">
        <v>41568</v>
      </c>
      <c r="F684" s="3" t="s">
        <v>1556</v>
      </c>
      <c r="G684" s="5"/>
      <c r="H684" s="3" t="s">
        <v>1557</v>
      </c>
      <c r="I684" s="3" t="str">
        <f t="shared" ref="I684:I692" si="49">"24 / 10-10-2013"</f>
        <v>24 / 10-10-2013</v>
      </c>
      <c r="J684" s="4">
        <v>41557</v>
      </c>
      <c r="K684" s="6">
        <v>0.85416666666666663</v>
      </c>
      <c r="L684" s="3">
        <v>22</v>
      </c>
      <c r="M684" s="3" t="s">
        <v>56</v>
      </c>
      <c r="N684" s="3" t="s">
        <v>56</v>
      </c>
      <c r="O684" s="5"/>
      <c r="P684" s="3" t="s">
        <v>22</v>
      </c>
      <c r="Q684" s="7"/>
      <c r="R684" s="7"/>
    </row>
    <row r="685" spans="1:18" ht="38.25" x14ac:dyDescent="0.25">
      <c r="A685" s="3" t="s">
        <v>18</v>
      </c>
      <c r="B685" s="3">
        <v>2013</v>
      </c>
      <c r="C685" s="3" t="s">
        <v>19</v>
      </c>
      <c r="D685" s="3" t="str">
        <f>"701 / 2013"</f>
        <v>701 / 2013</v>
      </c>
      <c r="E685" s="4">
        <v>41584</v>
      </c>
      <c r="F685" s="3" t="s">
        <v>1558</v>
      </c>
      <c r="G685" s="5"/>
      <c r="H685" s="3" t="s">
        <v>1559</v>
      </c>
      <c r="I685" s="3" t="str">
        <f t="shared" si="49"/>
        <v>24 / 10-10-2013</v>
      </c>
      <c r="J685" s="4">
        <v>41557</v>
      </c>
      <c r="K685" s="6">
        <v>0.85416666666666663</v>
      </c>
      <c r="L685" s="3">
        <v>22</v>
      </c>
      <c r="M685" s="3" t="s">
        <v>56</v>
      </c>
      <c r="N685" s="3" t="s">
        <v>56</v>
      </c>
      <c r="O685" s="5"/>
      <c r="P685" s="3" t="s">
        <v>22</v>
      </c>
      <c r="Q685" s="7"/>
      <c r="R685" s="7"/>
    </row>
    <row r="686" spans="1:18" ht="89.25" x14ac:dyDescent="0.25">
      <c r="A686" s="3" t="s">
        <v>18</v>
      </c>
      <c r="B686" s="3">
        <v>2013</v>
      </c>
      <c r="C686" s="3" t="s">
        <v>19</v>
      </c>
      <c r="D686" s="3" t="str">
        <f>"702 / 2013"</f>
        <v>702 / 2013</v>
      </c>
      <c r="E686" s="4">
        <v>41563</v>
      </c>
      <c r="F686" s="3" t="s">
        <v>1560</v>
      </c>
      <c r="G686" s="5"/>
      <c r="H686" s="3" t="s">
        <v>1561</v>
      </c>
      <c r="I686" s="3" t="str">
        <f t="shared" si="49"/>
        <v>24 / 10-10-2013</v>
      </c>
      <c r="J686" s="4">
        <v>41557</v>
      </c>
      <c r="K686" s="6">
        <v>0.85416666666666663</v>
      </c>
      <c r="L686" s="3">
        <v>23</v>
      </c>
      <c r="M686" s="3" t="s">
        <v>355</v>
      </c>
      <c r="N686" s="3" t="s">
        <v>355</v>
      </c>
      <c r="O686" s="5"/>
      <c r="P686" s="3" t="s">
        <v>22</v>
      </c>
      <c r="Q686" s="7"/>
      <c r="R686" s="7"/>
    </row>
    <row r="687" spans="1:18" ht="51" x14ac:dyDescent="0.25">
      <c r="A687" s="3" t="s">
        <v>18</v>
      </c>
      <c r="B687" s="3">
        <v>2013</v>
      </c>
      <c r="C687" s="3" t="s">
        <v>19</v>
      </c>
      <c r="D687" s="3" t="str">
        <f>"703 / 2013"</f>
        <v>703 / 2013</v>
      </c>
      <c r="E687" s="4">
        <v>41558</v>
      </c>
      <c r="F687" s="3" t="s">
        <v>1562</v>
      </c>
      <c r="G687" s="5"/>
      <c r="H687" s="3" t="s">
        <v>1563</v>
      </c>
      <c r="I687" s="3" t="str">
        <f t="shared" si="49"/>
        <v>24 / 10-10-2013</v>
      </c>
      <c r="J687" s="4">
        <v>41557</v>
      </c>
      <c r="K687" s="6">
        <v>0.85416666666666663</v>
      </c>
      <c r="L687" s="3">
        <v>25</v>
      </c>
      <c r="M687" s="3" t="s">
        <v>32</v>
      </c>
      <c r="N687" s="3" t="s">
        <v>32</v>
      </c>
      <c r="O687" s="5"/>
      <c r="P687" s="3" t="s">
        <v>22</v>
      </c>
      <c r="Q687" s="7"/>
      <c r="R687" s="7"/>
    </row>
    <row r="688" spans="1:18" ht="51" x14ac:dyDescent="0.25">
      <c r="A688" s="3" t="s">
        <v>18</v>
      </c>
      <c r="B688" s="3">
        <v>2013</v>
      </c>
      <c r="C688" s="3" t="s">
        <v>19</v>
      </c>
      <c r="D688" s="3" t="str">
        <f>"704 / 2013"</f>
        <v>704 / 2013</v>
      </c>
      <c r="E688" s="4">
        <v>41558</v>
      </c>
      <c r="F688" s="3" t="s">
        <v>1564</v>
      </c>
      <c r="G688" s="5"/>
      <c r="H688" s="3" t="s">
        <v>1565</v>
      </c>
      <c r="I688" s="3" t="str">
        <f t="shared" si="49"/>
        <v>24 / 10-10-2013</v>
      </c>
      <c r="J688" s="4">
        <v>41557</v>
      </c>
      <c r="K688" s="6">
        <v>0.85416666666666663</v>
      </c>
      <c r="L688" s="3">
        <v>25</v>
      </c>
      <c r="M688" s="3" t="s">
        <v>32</v>
      </c>
      <c r="N688" s="3" t="s">
        <v>32</v>
      </c>
      <c r="O688" s="5"/>
      <c r="P688" s="3" t="s">
        <v>22</v>
      </c>
      <c r="Q688" s="7"/>
      <c r="R688" s="7"/>
    </row>
    <row r="689" spans="1:18" ht="51" x14ac:dyDescent="0.25">
      <c r="A689" s="3" t="s">
        <v>18</v>
      </c>
      <c r="B689" s="3">
        <v>2013</v>
      </c>
      <c r="C689" s="3" t="s">
        <v>19</v>
      </c>
      <c r="D689" s="3" t="str">
        <f>"705 / 2013"</f>
        <v>705 / 2013</v>
      </c>
      <c r="E689" s="4">
        <v>41558</v>
      </c>
      <c r="F689" s="3" t="s">
        <v>1566</v>
      </c>
      <c r="G689" s="5"/>
      <c r="H689" s="3" t="s">
        <v>1567</v>
      </c>
      <c r="I689" s="3" t="str">
        <f t="shared" si="49"/>
        <v>24 / 10-10-2013</v>
      </c>
      <c r="J689" s="4">
        <v>41557</v>
      </c>
      <c r="K689" s="6">
        <v>0.85416666666666663</v>
      </c>
      <c r="L689" s="3">
        <v>25</v>
      </c>
      <c r="M689" s="3" t="s">
        <v>32</v>
      </c>
      <c r="N689" s="3" t="s">
        <v>32</v>
      </c>
      <c r="O689" s="5"/>
      <c r="P689" s="3" t="s">
        <v>22</v>
      </c>
      <c r="Q689" s="7"/>
      <c r="R689" s="7"/>
    </row>
    <row r="690" spans="1:18" ht="102" x14ac:dyDescent="0.25">
      <c r="A690" s="3" t="s">
        <v>18</v>
      </c>
      <c r="B690" s="3">
        <v>2013</v>
      </c>
      <c r="C690" s="3" t="s">
        <v>19</v>
      </c>
      <c r="D690" s="3" t="str">
        <f>"706 / 2013"</f>
        <v>706 / 2013</v>
      </c>
      <c r="E690" s="4">
        <v>41561</v>
      </c>
      <c r="F690" s="3" t="s">
        <v>1568</v>
      </c>
      <c r="G690" s="5"/>
      <c r="H690" s="3" t="s">
        <v>1569</v>
      </c>
      <c r="I690" s="3" t="str">
        <f t="shared" si="49"/>
        <v>24 / 10-10-2013</v>
      </c>
      <c r="J690" s="4">
        <v>41557</v>
      </c>
      <c r="K690" s="6">
        <v>0.85416666666666663</v>
      </c>
      <c r="L690" s="3">
        <v>25</v>
      </c>
      <c r="M690" s="3" t="s">
        <v>32</v>
      </c>
      <c r="N690" s="3" t="s">
        <v>32</v>
      </c>
      <c r="O690" s="5"/>
      <c r="P690" s="3" t="s">
        <v>22</v>
      </c>
      <c r="Q690" s="7"/>
      <c r="R690" s="7"/>
    </row>
    <row r="691" spans="1:18" ht="51" x14ac:dyDescent="0.25">
      <c r="A691" s="3" t="s">
        <v>18</v>
      </c>
      <c r="B691" s="3">
        <v>2013</v>
      </c>
      <c r="C691" s="3" t="s">
        <v>19</v>
      </c>
      <c r="D691" s="3" t="str">
        <f>"708 / 2013"</f>
        <v>708 / 2013</v>
      </c>
      <c r="E691" s="4">
        <v>41558</v>
      </c>
      <c r="F691" s="3" t="s">
        <v>1570</v>
      </c>
      <c r="G691" s="5"/>
      <c r="H691" s="3" t="s">
        <v>1571</v>
      </c>
      <c r="I691" s="3" t="str">
        <f t="shared" si="49"/>
        <v>24 / 10-10-2013</v>
      </c>
      <c r="J691" s="4">
        <v>41557</v>
      </c>
      <c r="K691" s="6">
        <v>0.85416666666666663</v>
      </c>
      <c r="L691" s="3">
        <v>25</v>
      </c>
      <c r="M691" s="3" t="s">
        <v>132</v>
      </c>
      <c r="N691" s="3" t="s">
        <v>132</v>
      </c>
      <c r="O691" s="5"/>
      <c r="P691" s="3" t="s">
        <v>22</v>
      </c>
      <c r="Q691" s="7"/>
      <c r="R691" s="7"/>
    </row>
    <row r="692" spans="1:18" ht="76.5" x14ac:dyDescent="0.25">
      <c r="A692" s="3" t="s">
        <v>18</v>
      </c>
      <c r="B692" s="3">
        <v>2013</v>
      </c>
      <c r="C692" s="3" t="s">
        <v>19</v>
      </c>
      <c r="D692" s="3" t="str">
        <f>"709 / 2013"</f>
        <v>709 / 2013</v>
      </c>
      <c r="E692" s="4">
        <v>41558</v>
      </c>
      <c r="F692" s="3" t="s">
        <v>1572</v>
      </c>
      <c r="G692" s="5"/>
      <c r="H692" s="3" t="s">
        <v>1573</v>
      </c>
      <c r="I692" s="3" t="str">
        <f t="shared" si="49"/>
        <v>24 / 10-10-2013</v>
      </c>
      <c r="J692" s="4">
        <v>41557</v>
      </c>
      <c r="K692" s="6">
        <v>0.85416666666666663</v>
      </c>
      <c r="L692" s="3">
        <v>25</v>
      </c>
      <c r="M692" s="3" t="s">
        <v>132</v>
      </c>
      <c r="N692" s="3" t="s">
        <v>132</v>
      </c>
      <c r="O692" s="5"/>
      <c r="P692" s="3" t="s">
        <v>22</v>
      </c>
      <c r="Q692" s="7"/>
      <c r="R692" s="7"/>
    </row>
    <row r="693" spans="1:18" ht="63.75" x14ac:dyDescent="0.25">
      <c r="A693" s="3" t="s">
        <v>18</v>
      </c>
      <c r="B693" s="3">
        <v>2013</v>
      </c>
      <c r="C693" s="3" t="s">
        <v>19</v>
      </c>
      <c r="D693" s="3" t="str">
        <f>"71/2013"</f>
        <v>71/2013</v>
      </c>
      <c r="E693" s="4">
        <v>41325</v>
      </c>
      <c r="F693" s="3" t="s">
        <v>1574</v>
      </c>
      <c r="G693" s="5"/>
      <c r="H693" s="3" t="s">
        <v>1575</v>
      </c>
      <c r="I693" s="3" t="str">
        <f>"5/20-02-2013"</f>
        <v>5/20-02-2013</v>
      </c>
      <c r="J693" s="4">
        <v>41325</v>
      </c>
      <c r="K693" s="6">
        <v>0.79166666666666663</v>
      </c>
      <c r="L693" s="3">
        <v>22</v>
      </c>
      <c r="M693" s="3" t="s">
        <v>53</v>
      </c>
      <c r="N693" s="3" t="s">
        <v>53</v>
      </c>
      <c r="O693" s="5"/>
      <c r="P693" s="3" t="s">
        <v>22</v>
      </c>
      <c r="Q693" s="7"/>
      <c r="R693" s="7"/>
    </row>
    <row r="694" spans="1:18" ht="102" x14ac:dyDescent="0.25">
      <c r="A694" s="3" t="s">
        <v>18</v>
      </c>
      <c r="B694" s="3">
        <v>2013</v>
      </c>
      <c r="C694" s="3" t="s">
        <v>19</v>
      </c>
      <c r="D694" s="3" t="str">
        <f>"710 / 2013"</f>
        <v>710 / 2013</v>
      </c>
      <c r="E694" s="4">
        <v>41562</v>
      </c>
      <c r="F694" s="3" t="s">
        <v>1576</v>
      </c>
      <c r="G694" s="5"/>
      <c r="H694" s="3" t="s">
        <v>1577</v>
      </c>
      <c r="I694" s="3" t="str">
        <f>"24 / 10-10-2013"</f>
        <v>24 / 10-10-2013</v>
      </c>
      <c r="J694" s="4">
        <v>41557</v>
      </c>
      <c r="K694" s="6">
        <v>0.85416666666666663</v>
      </c>
      <c r="L694" s="3">
        <v>26</v>
      </c>
      <c r="M694" s="3" t="s">
        <v>286</v>
      </c>
      <c r="N694" s="3" t="s">
        <v>286</v>
      </c>
      <c r="O694" s="5"/>
      <c r="P694" s="3" t="s">
        <v>22</v>
      </c>
      <c r="Q694" s="7"/>
      <c r="R694" s="7"/>
    </row>
    <row r="695" spans="1:18" ht="38.25" x14ac:dyDescent="0.25">
      <c r="A695" s="3" t="s">
        <v>18</v>
      </c>
      <c r="B695" s="3">
        <v>2013</v>
      </c>
      <c r="C695" s="3" t="s">
        <v>19</v>
      </c>
      <c r="D695" s="3" t="str">
        <f>"711 / 2013"</f>
        <v>711 / 2013</v>
      </c>
      <c r="E695" s="4">
        <v>41584</v>
      </c>
      <c r="F695" s="3" t="s">
        <v>1578</v>
      </c>
      <c r="G695" s="5"/>
      <c r="H695" s="3" t="s">
        <v>1579</v>
      </c>
      <c r="I695" s="3" t="str">
        <f>"23 / 16-10-2013"</f>
        <v>23 / 16-10-2013</v>
      </c>
      <c r="J695" s="4">
        <v>41563</v>
      </c>
      <c r="K695" s="6">
        <v>0.79166666666666663</v>
      </c>
      <c r="L695" s="5"/>
      <c r="M695" s="3" t="s">
        <v>139</v>
      </c>
      <c r="N695" s="3" t="s">
        <v>139</v>
      </c>
      <c r="O695" s="5"/>
      <c r="P695" s="3" t="s">
        <v>22</v>
      </c>
      <c r="Q695" s="7"/>
      <c r="R695" s="7"/>
    </row>
    <row r="696" spans="1:18" ht="63.75" x14ac:dyDescent="0.25">
      <c r="A696" s="3" t="s">
        <v>18</v>
      </c>
      <c r="B696" s="3">
        <v>2013</v>
      </c>
      <c r="C696" s="3" t="s">
        <v>19</v>
      </c>
      <c r="D696" s="3" t="str">
        <f>"712 / 2013"</f>
        <v>712 / 2013</v>
      </c>
      <c r="E696" s="4">
        <v>41572</v>
      </c>
      <c r="F696" s="3" t="s">
        <v>1580</v>
      </c>
      <c r="G696" s="5"/>
      <c r="H696" s="3" t="s">
        <v>1581</v>
      </c>
      <c r="I696" s="3" t="str">
        <f t="shared" ref="I696:I703" si="50">"25 / 22-10-2013"</f>
        <v>25 / 22-10-2013</v>
      </c>
      <c r="J696" s="4">
        <v>41569</v>
      </c>
      <c r="K696" s="6">
        <v>0.875</v>
      </c>
      <c r="L696" s="3">
        <v>1</v>
      </c>
      <c r="M696" s="5"/>
      <c r="N696" s="5"/>
      <c r="O696" s="5"/>
      <c r="P696" s="3" t="s">
        <v>22</v>
      </c>
      <c r="Q696" s="7"/>
      <c r="R696" s="7"/>
    </row>
    <row r="697" spans="1:18" ht="51" x14ac:dyDescent="0.25">
      <c r="A697" s="3" t="s">
        <v>18</v>
      </c>
      <c r="B697" s="3">
        <v>2013</v>
      </c>
      <c r="C697" s="3" t="s">
        <v>19</v>
      </c>
      <c r="D697" s="3" t="str">
        <f>"713 / 2013"</f>
        <v>713 / 2013</v>
      </c>
      <c r="E697" s="4">
        <v>41576</v>
      </c>
      <c r="F697" s="3" t="s">
        <v>1582</v>
      </c>
      <c r="G697" s="5"/>
      <c r="H697" s="3" t="s">
        <v>1583</v>
      </c>
      <c r="I697" s="3" t="str">
        <f t="shared" si="50"/>
        <v>25 / 22-10-2013</v>
      </c>
      <c r="J697" s="4">
        <v>41569</v>
      </c>
      <c r="K697" s="6">
        <v>0.875</v>
      </c>
      <c r="L697" s="3">
        <v>3</v>
      </c>
      <c r="M697" s="3" t="s">
        <v>333</v>
      </c>
      <c r="N697" s="3" t="s">
        <v>333</v>
      </c>
      <c r="O697" s="5"/>
      <c r="P697" s="3" t="s">
        <v>22</v>
      </c>
      <c r="Q697" s="7"/>
      <c r="R697" s="7"/>
    </row>
    <row r="698" spans="1:18" ht="38.25" x14ac:dyDescent="0.25">
      <c r="A698" s="3" t="s">
        <v>18</v>
      </c>
      <c r="B698" s="3">
        <v>2013</v>
      </c>
      <c r="C698" s="3" t="s">
        <v>19</v>
      </c>
      <c r="D698" s="3" t="str">
        <f>"714 / 2013"</f>
        <v>714 / 2013</v>
      </c>
      <c r="E698" s="4">
        <v>41607</v>
      </c>
      <c r="F698" s="3" t="s">
        <v>1584</v>
      </c>
      <c r="G698" s="5"/>
      <c r="H698" s="3" t="s">
        <v>1585</v>
      </c>
      <c r="I698" s="3" t="str">
        <f t="shared" si="50"/>
        <v>25 / 22-10-2013</v>
      </c>
      <c r="J698" s="4">
        <v>41569</v>
      </c>
      <c r="K698" s="6">
        <v>0.875</v>
      </c>
      <c r="L698" s="3">
        <v>4</v>
      </c>
      <c r="M698" s="5"/>
      <c r="N698" s="5"/>
      <c r="O698" s="5"/>
      <c r="P698" s="3" t="s">
        <v>22</v>
      </c>
      <c r="Q698" s="7"/>
      <c r="R698" s="7"/>
    </row>
    <row r="699" spans="1:18" ht="76.5" x14ac:dyDescent="0.25">
      <c r="A699" s="3" t="s">
        <v>18</v>
      </c>
      <c r="B699" s="3">
        <v>2013</v>
      </c>
      <c r="C699" s="3" t="s">
        <v>19</v>
      </c>
      <c r="D699" s="3" t="str">
        <f>"715 / 2013"</f>
        <v>715 / 2013</v>
      </c>
      <c r="E699" s="4">
        <v>41579</v>
      </c>
      <c r="F699" s="3" t="s">
        <v>1586</v>
      </c>
      <c r="G699" s="5"/>
      <c r="H699" s="3" t="s">
        <v>1587</v>
      </c>
      <c r="I699" s="3" t="str">
        <f t="shared" si="50"/>
        <v>25 / 22-10-2013</v>
      </c>
      <c r="J699" s="4">
        <v>41569</v>
      </c>
      <c r="K699" s="6">
        <v>0.875</v>
      </c>
      <c r="L699" s="3">
        <v>5</v>
      </c>
      <c r="M699" s="5"/>
      <c r="N699" s="5"/>
      <c r="O699" s="5"/>
      <c r="P699" s="3" t="s">
        <v>22</v>
      </c>
      <c r="Q699" s="7"/>
      <c r="R699" s="7"/>
    </row>
    <row r="700" spans="1:18" ht="89.25" x14ac:dyDescent="0.25">
      <c r="A700" s="3" t="s">
        <v>18</v>
      </c>
      <c r="B700" s="3">
        <v>2013</v>
      </c>
      <c r="C700" s="3" t="s">
        <v>19</v>
      </c>
      <c r="D700" s="3" t="str">
        <f>"716 / 2013"</f>
        <v>716 / 2013</v>
      </c>
      <c r="E700" s="4">
        <v>41578</v>
      </c>
      <c r="F700" s="3" t="s">
        <v>1588</v>
      </c>
      <c r="G700" s="5"/>
      <c r="H700" s="3" t="s">
        <v>1589</v>
      </c>
      <c r="I700" s="3" t="str">
        <f t="shared" si="50"/>
        <v>25 / 22-10-2013</v>
      </c>
      <c r="J700" s="4">
        <v>41569</v>
      </c>
      <c r="K700" s="6">
        <v>0.875</v>
      </c>
      <c r="L700" s="3">
        <v>6</v>
      </c>
      <c r="M700" s="3" t="s">
        <v>324</v>
      </c>
      <c r="N700" s="3" t="s">
        <v>324</v>
      </c>
      <c r="O700" s="5"/>
      <c r="P700" s="3" t="s">
        <v>22</v>
      </c>
      <c r="Q700" s="7"/>
      <c r="R700" s="7"/>
    </row>
    <row r="701" spans="1:18" ht="38.25" x14ac:dyDescent="0.25">
      <c r="A701" s="3" t="s">
        <v>18</v>
      </c>
      <c r="B701" s="3">
        <v>2013</v>
      </c>
      <c r="C701" s="3" t="s">
        <v>19</v>
      </c>
      <c r="D701" s="3" t="str">
        <f>"717 / 2013"</f>
        <v>717 / 2013</v>
      </c>
      <c r="E701" s="4">
        <v>41583</v>
      </c>
      <c r="F701" s="3" t="s">
        <v>1590</v>
      </c>
      <c r="G701" s="5"/>
      <c r="H701" s="3" t="s">
        <v>1591</v>
      </c>
      <c r="I701" s="3" t="str">
        <f t="shared" si="50"/>
        <v>25 / 22-10-2013</v>
      </c>
      <c r="J701" s="4">
        <v>41569</v>
      </c>
      <c r="K701" s="6">
        <v>0.875</v>
      </c>
      <c r="L701" s="3">
        <v>7</v>
      </c>
      <c r="M701" s="3" t="s">
        <v>1221</v>
      </c>
      <c r="N701" s="3" t="s">
        <v>1221</v>
      </c>
      <c r="O701" s="5"/>
      <c r="P701" s="3" t="s">
        <v>22</v>
      </c>
      <c r="Q701" s="7"/>
      <c r="R701" s="7"/>
    </row>
    <row r="702" spans="1:18" ht="89.25" x14ac:dyDescent="0.25">
      <c r="A702" s="3" t="s">
        <v>18</v>
      </c>
      <c r="B702" s="3">
        <v>2013</v>
      </c>
      <c r="C702" s="3" t="s">
        <v>19</v>
      </c>
      <c r="D702" s="3" t="str">
        <f>"718 / 2013"</f>
        <v>718 / 2013</v>
      </c>
      <c r="E702" s="4">
        <v>41585</v>
      </c>
      <c r="F702" s="3" t="s">
        <v>1592</v>
      </c>
      <c r="G702" s="5"/>
      <c r="H702" s="3" t="s">
        <v>1593</v>
      </c>
      <c r="I702" s="3" t="str">
        <f t="shared" si="50"/>
        <v>25 / 22-10-2013</v>
      </c>
      <c r="J702" s="4">
        <v>41569</v>
      </c>
      <c r="K702" s="6">
        <v>0.875</v>
      </c>
      <c r="L702" s="3">
        <v>8</v>
      </c>
      <c r="M702" s="3" t="s">
        <v>1594</v>
      </c>
      <c r="N702" s="3" t="s">
        <v>1594</v>
      </c>
      <c r="O702" s="5"/>
      <c r="P702" s="3" t="s">
        <v>22</v>
      </c>
      <c r="Q702" s="7"/>
      <c r="R702" s="7"/>
    </row>
    <row r="703" spans="1:18" ht="114.75" x14ac:dyDescent="0.25">
      <c r="A703" s="3" t="s">
        <v>18</v>
      </c>
      <c r="B703" s="3">
        <v>2013</v>
      </c>
      <c r="C703" s="3" t="s">
        <v>19</v>
      </c>
      <c r="D703" s="3" t="str">
        <f>"719 / 2013"</f>
        <v>719 / 2013</v>
      </c>
      <c r="E703" s="4">
        <v>41577</v>
      </c>
      <c r="F703" s="3" t="s">
        <v>1595</v>
      </c>
      <c r="G703" s="5"/>
      <c r="H703" s="3" t="s">
        <v>1596</v>
      </c>
      <c r="I703" s="3" t="str">
        <f t="shared" si="50"/>
        <v>25 / 22-10-2013</v>
      </c>
      <c r="J703" s="4">
        <v>41569</v>
      </c>
      <c r="K703" s="6">
        <v>0.875</v>
      </c>
      <c r="L703" s="3">
        <v>9</v>
      </c>
      <c r="M703" s="3" t="s">
        <v>50</v>
      </c>
      <c r="N703" s="3" t="s">
        <v>50</v>
      </c>
      <c r="O703" s="5"/>
      <c r="P703" s="3" t="s">
        <v>22</v>
      </c>
      <c r="Q703" s="7"/>
      <c r="R703" s="7"/>
    </row>
    <row r="704" spans="1:18" ht="63.75" x14ac:dyDescent="0.25">
      <c r="A704" s="3" t="s">
        <v>18</v>
      </c>
      <c r="B704" s="3">
        <v>2013</v>
      </c>
      <c r="C704" s="3" t="s">
        <v>19</v>
      </c>
      <c r="D704" s="3" t="str">
        <f>"72/2013"</f>
        <v>72/2013</v>
      </c>
      <c r="E704" s="4">
        <v>41325</v>
      </c>
      <c r="F704" s="3" t="s">
        <v>1597</v>
      </c>
      <c r="G704" s="5"/>
      <c r="H704" s="3" t="s">
        <v>1598</v>
      </c>
      <c r="I704" s="3" t="str">
        <f>"5/20-02-2013"</f>
        <v>5/20-02-2013</v>
      </c>
      <c r="J704" s="4">
        <v>41325</v>
      </c>
      <c r="K704" s="6">
        <v>0.79166666666666663</v>
      </c>
      <c r="L704" s="3">
        <v>22</v>
      </c>
      <c r="M704" s="3" t="s">
        <v>53</v>
      </c>
      <c r="N704" s="3" t="s">
        <v>53</v>
      </c>
      <c r="O704" s="5"/>
      <c r="P704" s="3" t="s">
        <v>22</v>
      </c>
      <c r="Q704" s="7"/>
      <c r="R704" s="7"/>
    </row>
    <row r="705" spans="1:18" ht="63.75" x14ac:dyDescent="0.25">
      <c r="A705" s="3" t="s">
        <v>18</v>
      </c>
      <c r="B705" s="3">
        <v>2013</v>
      </c>
      <c r="C705" s="3" t="s">
        <v>19</v>
      </c>
      <c r="D705" s="3" t="str">
        <f>"720 / 2013"</f>
        <v>720 / 2013</v>
      </c>
      <c r="E705" s="4">
        <v>41570</v>
      </c>
      <c r="F705" s="3" t="s">
        <v>1599</v>
      </c>
      <c r="G705" s="5"/>
      <c r="H705" s="3" t="s">
        <v>1600</v>
      </c>
      <c r="I705" s="3" t="str">
        <f t="shared" ref="I705:I714" si="51">"25 / 22-10-2013"</f>
        <v>25 / 22-10-2013</v>
      </c>
      <c r="J705" s="4">
        <v>41569</v>
      </c>
      <c r="K705" s="6">
        <v>0.875</v>
      </c>
      <c r="L705" s="3">
        <v>16</v>
      </c>
      <c r="M705" s="3" t="s">
        <v>50</v>
      </c>
      <c r="N705" s="3" t="s">
        <v>50</v>
      </c>
      <c r="O705" s="5"/>
      <c r="P705" s="3" t="s">
        <v>22</v>
      </c>
      <c r="Q705" s="7"/>
      <c r="R705" s="7"/>
    </row>
    <row r="706" spans="1:18" ht="51" x14ac:dyDescent="0.25">
      <c r="A706" s="3" t="s">
        <v>18</v>
      </c>
      <c r="B706" s="3">
        <v>2013</v>
      </c>
      <c r="C706" s="3" t="s">
        <v>19</v>
      </c>
      <c r="D706" s="3" t="str">
        <f>"721 / 2013"</f>
        <v>721 / 2013</v>
      </c>
      <c r="E706" s="4">
        <v>41571</v>
      </c>
      <c r="F706" s="3" t="s">
        <v>1601</v>
      </c>
      <c r="G706" s="5"/>
      <c r="H706" s="3" t="s">
        <v>1602</v>
      </c>
      <c r="I706" s="3" t="str">
        <f t="shared" si="51"/>
        <v>25 / 22-10-2013</v>
      </c>
      <c r="J706" s="4">
        <v>41569</v>
      </c>
      <c r="K706" s="6">
        <v>0.875</v>
      </c>
      <c r="L706" s="3">
        <v>9</v>
      </c>
      <c r="M706" s="3" t="s">
        <v>50</v>
      </c>
      <c r="N706" s="3" t="s">
        <v>50</v>
      </c>
      <c r="O706" s="5"/>
      <c r="P706" s="3" t="s">
        <v>22</v>
      </c>
      <c r="Q706" s="7"/>
      <c r="R706" s="7"/>
    </row>
    <row r="707" spans="1:18" ht="76.5" x14ac:dyDescent="0.25">
      <c r="A707" s="3" t="s">
        <v>18</v>
      </c>
      <c r="B707" s="3">
        <v>2013</v>
      </c>
      <c r="C707" s="3" t="s">
        <v>19</v>
      </c>
      <c r="D707" s="3" t="str">
        <f>"722 / 2013"</f>
        <v>722 / 2013</v>
      </c>
      <c r="E707" s="4">
        <v>41571</v>
      </c>
      <c r="F707" s="3" t="s">
        <v>1603</v>
      </c>
      <c r="G707" s="5"/>
      <c r="H707" s="3" t="s">
        <v>1604</v>
      </c>
      <c r="I707" s="3" t="str">
        <f t="shared" si="51"/>
        <v>25 / 22-10-2013</v>
      </c>
      <c r="J707" s="4">
        <v>41569</v>
      </c>
      <c r="K707" s="6">
        <v>0.875</v>
      </c>
      <c r="L707" s="3">
        <v>9</v>
      </c>
      <c r="M707" s="3" t="s">
        <v>1221</v>
      </c>
      <c r="N707" s="3" t="s">
        <v>1221</v>
      </c>
      <c r="O707" s="5"/>
      <c r="P707" s="3" t="s">
        <v>22</v>
      </c>
      <c r="Q707" s="7"/>
      <c r="R707" s="7"/>
    </row>
    <row r="708" spans="1:18" ht="63.75" x14ac:dyDescent="0.25">
      <c r="A708" s="3" t="s">
        <v>18</v>
      </c>
      <c r="B708" s="3">
        <v>2013</v>
      </c>
      <c r="C708" s="3" t="s">
        <v>19</v>
      </c>
      <c r="D708" s="3" t="str">
        <f>"723 / 2013"</f>
        <v>723 / 2013</v>
      </c>
      <c r="E708" s="4">
        <v>41576</v>
      </c>
      <c r="F708" s="3" t="s">
        <v>1605</v>
      </c>
      <c r="G708" s="5"/>
      <c r="H708" s="3" t="s">
        <v>1606</v>
      </c>
      <c r="I708" s="3" t="str">
        <f t="shared" si="51"/>
        <v>25 / 22-10-2013</v>
      </c>
      <c r="J708" s="4">
        <v>41569</v>
      </c>
      <c r="K708" s="6">
        <v>0.875</v>
      </c>
      <c r="L708" s="3">
        <v>9</v>
      </c>
      <c r="M708" s="3" t="s">
        <v>50</v>
      </c>
      <c r="N708" s="3" t="s">
        <v>50</v>
      </c>
      <c r="O708" s="5"/>
      <c r="P708" s="3" t="s">
        <v>22</v>
      </c>
      <c r="Q708" s="7"/>
      <c r="R708" s="7"/>
    </row>
    <row r="709" spans="1:18" ht="63.75" x14ac:dyDescent="0.25">
      <c r="A709" s="3" t="s">
        <v>18</v>
      </c>
      <c r="B709" s="3">
        <v>2013</v>
      </c>
      <c r="C709" s="3" t="s">
        <v>19</v>
      </c>
      <c r="D709" s="3" t="str">
        <f>"724 / 2013"</f>
        <v>724 / 2013</v>
      </c>
      <c r="E709" s="4">
        <v>41582</v>
      </c>
      <c r="F709" s="3" t="s">
        <v>1607</v>
      </c>
      <c r="G709" s="5"/>
      <c r="H709" s="3" t="s">
        <v>1608</v>
      </c>
      <c r="I709" s="3" t="str">
        <f t="shared" si="51"/>
        <v>25 / 22-10-2013</v>
      </c>
      <c r="J709" s="4">
        <v>41569</v>
      </c>
      <c r="K709" s="6">
        <v>0.875</v>
      </c>
      <c r="L709" s="3">
        <v>10</v>
      </c>
      <c r="M709" s="3" t="s">
        <v>1221</v>
      </c>
      <c r="N709" s="3" t="s">
        <v>1221</v>
      </c>
      <c r="O709" s="5"/>
      <c r="P709" s="3" t="s">
        <v>22</v>
      </c>
      <c r="Q709" s="7"/>
      <c r="R709" s="7"/>
    </row>
    <row r="710" spans="1:18" ht="76.5" x14ac:dyDescent="0.25">
      <c r="A710" s="3" t="s">
        <v>18</v>
      </c>
      <c r="B710" s="3">
        <v>2013</v>
      </c>
      <c r="C710" s="3" t="s">
        <v>19</v>
      </c>
      <c r="D710" s="3" t="str">
        <f>"725 / 2013"</f>
        <v>725 / 2013</v>
      </c>
      <c r="E710" s="4">
        <v>41582</v>
      </c>
      <c r="F710" s="3" t="s">
        <v>1609</v>
      </c>
      <c r="G710" s="5"/>
      <c r="H710" s="3" t="s">
        <v>1610</v>
      </c>
      <c r="I710" s="3" t="str">
        <f t="shared" si="51"/>
        <v>25 / 22-10-2013</v>
      </c>
      <c r="J710" s="4">
        <v>41569</v>
      </c>
      <c r="K710" s="6">
        <v>0.875</v>
      </c>
      <c r="L710" s="3">
        <v>11</v>
      </c>
      <c r="M710" s="3" t="s">
        <v>50</v>
      </c>
      <c r="N710" s="3" t="s">
        <v>50</v>
      </c>
      <c r="O710" s="5"/>
      <c r="P710" s="3" t="s">
        <v>22</v>
      </c>
      <c r="Q710" s="7"/>
      <c r="R710" s="7"/>
    </row>
    <row r="711" spans="1:18" ht="51" x14ac:dyDescent="0.25">
      <c r="A711" s="3" t="s">
        <v>18</v>
      </c>
      <c r="B711" s="3">
        <v>2013</v>
      </c>
      <c r="C711" s="3" t="s">
        <v>19</v>
      </c>
      <c r="D711" s="3" t="str">
        <f>"726 / 2013"</f>
        <v>726 / 2013</v>
      </c>
      <c r="E711" s="4">
        <v>41582</v>
      </c>
      <c r="F711" s="3" t="s">
        <v>1611</v>
      </c>
      <c r="G711" s="5"/>
      <c r="H711" s="3" t="s">
        <v>1612</v>
      </c>
      <c r="I711" s="3" t="str">
        <f t="shared" si="51"/>
        <v>25 / 22-10-2013</v>
      </c>
      <c r="J711" s="4">
        <v>41569</v>
      </c>
      <c r="K711" s="6">
        <v>0.875</v>
      </c>
      <c r="L711" s="3">
        <v>11</v>
      </c>
      <c r="M711" s="3" t="s">
        <v>1221</v>
      </c>
      <c r="N711" s="3" t="s">
        <v>1221</v>
      </c>
      <c r="O711" s="5"/>
      <c r="P711" s="3" t="s">
        <v>22</v>
      </c>
      <c r="Q711" s="7"/>
      <c r="R711" s="7"/>
    </row>
    <row r="712" spans="1:18" ht="76.5" x14ac:dyDescent="0.25">
      <c r="A712" s="3" t="s">
        <v>18</v>
      </c>
      <c r="B712" s="3">
        <v>2013</v>
      </c>
      <c r="C712" s="3" t="s">
        <v>19</v>
      </c>
      <c r="D712" s="3" t="str">
        <f>"727 / 2013"</f>
        <v>727 / 2013</v>
      </c>
      <c r="E712" s="4">
        <v>41604</v>
      </c>
      <c r="F712" s="3" t="s">
        <v>1613</v>
      </c>
      <c r="G712" s="5"/>
      <c r="H712" s="3" t="s">
        <v>1614</v>
      </c>
      <c r="I712" s="3" t="str">
        <f t="shared" si="51"/>
        <v>25 / 22-10-2013</v>
      </c>
      <c r="J712" s="4">
        <v>41569</v>
      </c>
      <c r="K712" s="6">
        <v>0.875</v>
      </c>
      <c r="L712" s="3">
        <v>12</v>
      </c>
      <c r="M712" s="3" t="s">
        <v>552</v>
      </c>
      <c r="N712" s="3" t="s">
        <v>552</v>
      </c>
      <c r="O712" s="5"/>
      <c r="P712" s="3" t="s">
        <v>22</v>
      </c>
      <c r="Q712" s="7"/>
      <c r="R712" s="7"/>
    </row>
    <row r="713" spans="1:18" ht="76.5" x14ac:dyDescent="0.25">
      <c r="A713" s="3" t="s">
        <v>18</v>
      </c>
      <c r="B713" s="3">
        <v>2013</v>
      </c>
      <c r="C713" s="3" t="s">
        <v>19</v>
      </c>
      <c r="D713" s="3" t="str">
        <f>"728 / 2013"</f>
        <v>728 / 2013</v>
      </c>
      <c r="E713" s="4">
        <v>41570</v>
      </c>
      <c r="F713" s="3" t="s">
        <v>1615</v>
      </c>
      <c r="G713" s="5"/>
      <c r="H713" s="3" t="s">
        <v>1616</v>
      </c>
      <c r="I713" s="3" t="str">
        <f t="shared" si="51"/>
        <v>25 / 22-10-2013</v>
      </c>
      <c r="J713" s="4">
        <v>41569</v>
      </c>
      <c r="K713" s="6">
        <v>0.875</v>
      </c>
      <c r="L713" s="3">
        <v>13</v>
      </c>
      <c r="M713" s="3" t="s">
        <v>534</v>
      </c>
      <c r="N713" s="3" t="s">
        <v>534</v>
      </c>
      <c r="O713" s="5"/>
      <c r="P713" s="3" t="s">
        <v>22</v>
      </c>
      <c r="Q713" s="7"/>
      <c r="R713" s="7"/>
    </row>
    <row r="714" spans="1:18" ht="63.75" x14ac:dyDescent="0.25">
      <c r="A714" s="3" t="s">
        <v>18</v>
      </c>
      <c r="B714" s="3">
        <v>2013</v>
      </c>
      <c r="C714" s="3" t="s">
        <v>19</v>
      </c>
      <c r="D714" s="3" t="str">
        <f>"729 / 2013"</f>
        <v>729 / 2013</v>
      </c>
      <c r="E714" s="4">
        <v>41572</v>
      </c>
      <c r="F714" s="3" t="s">
        <v>1617</v>
      </c>
      <c r="G714" s="5"/>
      <c r="H714" s="3" t="s">
        <v>1618</v>
      </c>
      <c r="I714" s="3" t="str">
        <f t="shared" si="51"/>
        <v>25 / 22-10-2013</v>
      </c>
      <c r="J714" s="4">
        <v>41569</v>
      </c>
      <c r="K714" s="6">
        <v>0.875</v>
      </c>
      <c r="L714" s="3">
        <v>13</v>
      </c>
      <c r="M714" s="3" t="s">
        <v>534</v>
      </c>
      <c r="N714" s="3" t="s">
        <v>534</v>
      </c>
      <c r="O714" s="5"/>
      <c r="P714" s="3" t="s">
        <v>22</v>
      </c>
      <c r="Q714" s="7"/>
      <c r="R714" s="7"/>
    </row>
    <row r="715" spans="1:18" ht="51" x14ac:dyDescent="0.25">
      <c r="A715" s="3" t="s">
        <v>18</v>
      </c>
      <c r="B715" s="3">
        <v>2013</v>
      </c>
      <c r="C715" s="3" t="s">
        <v>19</v>
      </c>
      <c r="D715" s="3" t="str">
        <f>"73/2013"</f>
        <v>73/2013</v>
      </c>
      <c r="E715" s="4">
        <v>41330</v>
      </c>
      <c r="F715" s="3" t="s">
        <v>1619</v>
      </c>
      <c r="G715" s="5"/>
      <c r="H715" s="3" t="s">
        <v>1620</v>
      </c>
      <c r="I715" s="3" t="str">
        <f>"5/20-02-2013"</f>
        <v>5/20-02-2013</v>
      </c>
      <c r="J715" s="4">
        <v>41325</v>
      </c>
      <c r="K715" s="6">
        <v>0.79166666666666663</v>
      </c>
      <c r="L715" s="3">
        <v>22</v>
      </c>
      <c r="M715" s="3" t="s">
        <v>62</v>
      </c>
      <c r="N715" s="3" t="s">
        <v>62</v>
      </c>
      <c r="O715" s="5"/>
      <c r="P715" s="3" t="s">
        <v>22</v>
      </c>
      <c r="Q715" s="7"/>
      <c r="R715" s="7"/>
    </row>
    <row r="716" spans="1:18" ht="89.25" x14ac:dyDescent="0.25">
      <c r="A716" s="3" t="s">
        <v>18</v>
      </c>
      <c r="B716" s="3">
        <v>2013</v>
      </c>
      <c r="C716" s="3" t="s">
        <v>19</v>
      </c>
      <c r="D716" s="3" t="str">
        <f>"730 / 2013"</f>
        <v>730 / 2013</v>
      </c>
      <c r="E716" s="4">
        <v>41571</v>
      </c>
      <c r="F716" s="3" t="s">
        <v>1621</v>
      </c>
      <c r="G716" s="5"/>
      <c r="H716" s="3" t="s">
        <v>1622</v>
      </c>
      <c r="I716" s="3" t="str">
        <f t="shared" ref="I716:I724" si="52">"25 / 22-10-2013"</f>
        <v>25 / 22-10-2013</v>
      </c>
      <c r="J716" s="4">
        <v>41569</v>
      </c>
      <c r="K716" s="6">
        <v>0.875</v>
      </c>
      <c r="L716" s="3">
        <v>13</v>
      </c>
      <c r="M716" s="3" t="s">
        <v>534</v>
      </c>
      <c r="N716" s="3" t="s">
        <v>534</v>
      </c>
      <c r="O716" s="5"/>
      <c r="P716" s="3" t="s">
        <v>22</v>
      </c>
      <c r="Q716" s="7"/>
      <c r="R716" s="7"/>
    </row>
    <row r="717" spans="1:18" ht="38.25" x14ac:dyDescent="0.25">
      <c r="A717" s="3" t="s">
        <v>18</v>
      </c>
      <c r="B717" s="3">
        <v>2013</v>
      </c>
      <c r="C717" s="3" t="s">
        <v>19</v>
      </c>
      <c r="D717" s="3" t="str">
        <f>"731 / 2013"</f>
        <v>731 / 2013</v>
      </c>
      <c r="E717" s="4">
        <v>41577</v>
      </c>
      <c r="F717" s="3" t="s">
        <v>1623</v>
      </c>
      <c r="G717" s="5"/>
      <c r="H717" s="3" t="s">
        <v>1624</v>
      </c>
      <c r="I717" s="3" t="str">
        <f t="shared" si="52"/>
        <v>25 / 22-10-2013</v>
      </c>
      <c r="J717" s="4">
        <v>41569</v>
      </c>
      <c r="K717" s="6">
        <v>0.875</v>
      </c>
      <c r="L717" s="3">
        <v>14</v>
      </c>
      <c r="M717" s="3" t="s">
        <v>56</v>
      </c>
      <c r="N717" s="3" t="s">
        <v>56</v>
      </c>
      <c r="O717" s="5"/>
      <c r="P717" s="3" t="s">
        <v>22</v>
      </c>
      <c r="Q717" s="7"/>
      <c r="R717" s="7"/>
    </row>
    <row r="718" spans="1:18" ht="38.25" x14ac:dyDescent="0.25">
      <c r="A718" s="3" t="s">
        <v>18</v>
      </c>
      <c r="B718" s="3">
        <v>2013</v>
      </c>
      <c r="C718" s="3" t="s">
        <v>19</v>
      </c>
      <c r="D718" s="3" t="str">
        <f>"732 / 2013"</f>
        <v>732 / 2013</v>
      </c>
      <c r="E718" s="4">
        <v>41582</v>
      </c>
      <c r="F718" s="3" t="s">
        <v>1625</v>
      </c>
      <c r="G718" s="5"/>
      <c r="H718" s="3" t="s">
        <v>1626</v>
      </c>
      <c r="I718" s="3" t="str">
        <f t="shared" si="52"/>
        <v>25 / 22-10-2013</v>
      </c>
      <c r="J718" s="4">
        <v>41569</v>
      </c>
      <c r="K718" s="6">
        <v>0.875</v>
      </c>
      <c r="L718" s="3">
        <v>14</v>
      </c>
      <c r="M718" s="3" t="s">
        <v>56</v>
      </c>
      <c r="N718" s="3" t="s">
        <v>56</v>
      </c>
      <c r="O718" s="5"/>
      <c r="P718" s="3" t="s">
        <v>22</v>
      </c>
      <c r="Q718" s="7"/>
      <c r="R718" s="7"/>
    </row>
    <row r="719" spans="1:18" ht="51" x14ac:dyDescent="0.25">
      <c r="A719" s="3" t="s">
        <v>18</v>
      </c>
      <c r="B719" s="3">
        <v>2013</v>
      </c>
      <c r="C719" s="3" t="s">
        <v>19</v>
      </c>
      <c r="D719" s="3" t="str">
        <f>"733 / 2013"</f>
        <v>733 / 2013</v>
      </c>
      <c r="E719" s="4">
        <v>41582</v>
      </c>
      <c r="F719" s="3" t="s">
        <v>1627</v>
      </c>
      <c r="G719" s="5"/>
      <c r="H719" s="3" t="s">
        <v>1628</v>
      </c>
      <c r="I719" s="3" t="str">
        <f t="shared" si="52"/>
        <v>25 / 22-10-2013</v>
      </c>
      <c r="J719" s="4">
        <v>41569</v>
      </c>
      <c r="K719" s="6">
        <v>0.875</v>
      </c>
      <c r="L719" s="3">
        <v>14</v>
      </c>
      <c r="M719" s="3" t="s">
        <v>56</v>
      </c>
      <c r="N719" s="3" t="s">
        <v>56</v>
      </c>
      <c r="O719" s="5"/>
      <c r="P719" s="3" t="s">
        <v>22</v>
      </c>
      <c r="Q719" s="7"/>
      <c r="R719" s="7"/>
    </row>
    <row r="720" spans="1:18" ht="51" x14ac:dyDescent="0.25">
      <c r="A720" s="3" t="s">
        <v>18</v>
      </c>
      <c r="B720" s="3">
        <v>2013</v>
      </c>
      <c r="C720" s="3" t="s">
        <v>19</v>
      </c>
      <c r="D720" s="3" t="str">
        <f>"734 / 2013"</f>
        <v>734 / 2013</v>
      </c>
      <c r="E720" s="4">
        <v>41583</v>
      </c>
      <c r="F720" s="3" t="s">
        <v>1629</v>
      </c>
      <c r="G720" s="5"/>
      <c r="H720" s="3" t="s">
        <v>1630</v>
      </c>
      <c r="I720" s="3" t="str">
        <f t="shared" si="52"/>
        <v>25 / 22-10-2013</v>
      </c>
      <c r="J720" s="4">
        <v>41569</v>
      </c>
      <c r="K720" s="6">
        <v>0.875</v>
      </c>
      <c r="L720" s="3">
        <v>14</v>
      </c>
      <c r="M720" s="3" t="s">
        <v>56</v>
      </c>
      <c r="N720" s="3" t="s">
        <v>56</v>
      </c>
      <c r="O720" s="5"/>
      <c r="P720" s="3" t="s">
        <v>22</v>
      </c>
      <c r="Q720" s="7"/>
      <c r="R720" s="7"/>
    </row>
    <row r="721" spans="1:18" ht="89.25" x14ac:dyDescent="0.25">
      <c r="A721" s="3" t="s">
        <v>18</v>
      </c>
      <c r="B721" s="3">
        <v>2013</v>
      </c>
      <c r="C721" s="3" t="s">
        <v>19</v>
      </c>
      <c r="D721" s="3" t="str">
        <f>"736 / 2013"</f>
        <v>736 / 2013</v>
      </c>
      <c r="E721" s="4">
        <v>41572</v>
      </c>
      <c r="F721" s="3" t="s">
        <v>1631</v>
      </c>
      <c r="G721" s="5"/>
      <c r="H721" s="3" t="s">
        <v>1632</v>
      </c>
      <c r="I721" s="3" t="str">
        <f t="shared" si="52"/>
        <v>25 / 22-10-2013</v>
      </c>
      <c r="J721" s="4">
        <v>41569</v>
      </c>
      <c r="K721" s="6">
        <v>0.875</v>
      </c>
      <c r="L721" s="3">
        <v>15</v>
      </c>
      <c r="M721" s="3" t="s">
        <v>56</v>
      </c>
      <c r="N721" s="3" t="s">
        <v>56</v>
      </c>
      <c r="O721" s="5"/>
      <c r="P721" s="3" t="s">
        <v>22</v>
      </c>
      <c r="Q721" s="7"/>
      <c r="R721" s="7"/>
    </row>
    <row r="722" spans="1:18" ht="51" x14ac:dyDescent="0.25">
      <c r="A722" s="3" t="s">
        <v>18</v>
      </c>
      <c r="B722" s="3">
        <v>2013</v>
      </c>
      <c r="C722" s="3" t="s">
        <v>19</v>
      </c>
      <c r="D722" s="3" t="str">
        <f>"737 / 2013"</f>
        <v>737 / 2013</v>
      </c>
      <c r="E722" s="4">
        <v>41576</v>
      </c>
      <c r="F722" s="3" t="s">
        <v>1633</v>
      </c>
      <c r="G722" s="5"/>
      <c r="H722" s="3" t="s">
        <v>1634</v>
      </c>
      <c r="I722" s="3" t="str">
        <f t="shared" si="52"/>
        <v>25 / 22-10-2013</v>
      </c>
      <c r="J722" s="4">
        <v>41569</v>
      </c>
      <c r="K722" s="6">
        <v>0.875</v>
      </c>
      <c r="L722" s="3">
        <v>16</v>
      </c>
      <c r="M722" s="3" t="s">
        <v>132</v>
      </c>
      <c r="N722" s="3" t="s">
        <v>132</v>
      </c>
      <c r="O722" s="5"/>
      <c r="P722" s="3" t="s">
        <v>22</v>
      </c>
      <c r="Q722" s="7"/>
      <c r="R722" s="7"/>
    </row>
    <row r="723" spans="1:18" ht="51" x14ac:dyDescent="0.25">
      <c r="A723" s="3" t="s">
        <v>18</v>
      </c>
      <c r="B723" s="3">
        <v>2013</v>
      </c>
      <c r="C723" s="3" t="s">
        <v>19</v>
      </c>
      <c r="D723" s="3" t="str">
        <f>"738 / 2013"</f>
        <v>738 / 2013</v>
      </c>
      <c r="E723" s="4">
        <v>41576</v>
      </c>
      <c r="F723" s="3" t="s">
        <v>1635</v>
      </c>
      <c r="G723" s="5"/>
      <c r="H723" s="3" t="s">
        <v>1636</v>
      </c>
      <c r="I723" s="3" t="str">
        <f t="shared" si="52"/>
        <v>25 / 22-10-2013</v>
      </c>
      <c r="J723" s="4">
        <v>41569</v>
      </c>
      <c r="K723" s="6">
        <v>0.875</v>
      </c>
      <c r="L723" s="3">
        <v>16</v>
      </c>
      <c r="M723" s="3" t="s">
        <v>132</v>
      </c>
      <c r="N723" s="3" t="s">
        <v>132</v>
      </c>
      <c r="O723" s="5"/>
      <c r="P723" s="3" t="s">
        <v>22</v>
      </c>
      <c r="Q723" s="7"/>
      <c r="R723" s="7"/>
    </row>
    <row r="724" spans="1:18" ht="51" x14ac:dyDescent="0.25">
      <c r="A724" s="3" t="s">
        <v>18</v>
      </c>
      <c r="B724" s="3">
        <v>2013</v>
      </c>
      <c r="C724" s="3" t="s">
        <v>19</v>
      </c>
      <c r="D724" s="3" t="str">
        <f>"739 / 2013"</f>
        <v>739 / 2013</v>
      </c>
      <c r="E724" s="4">
        <v>41576</v>
      </c>
      <c r="F724" s="3" t="s">
        <v>1637</v>
      </c>
      <c r="G724" s="5"/>
      <c r="H724" s="3" t="s">
        <v>1638</v>
      </c>
      <c r="I724" s="3" t="str">
        <f t="shared" si="52"/>
        <v>25 / 22-10-2013</v>
      </c>
      <c r="J724" s="4">
        <v>41569</v>
      </c>
      <c r="K724" s="6">
        <v>0.875</v>
      </c>
      <c r="L724" s="3">
        <v>10</v>
      </c>
      <c r="M724" s="3" t="s">
        <v>132</v>
      </c>
      <c r="N724" s="3" t="s">
        <v>132</v>
      </c>
      <c r="O724" s="5"/>
      <c r="P724" s="3" t="s">
        <v>22</v>
      </c>
      <c r="Q724" s="7"/>
      <c r="R724" s="7"/>
    </row>
    <row r="725" spans="1:18" ht="51" x14ac:dyDescent="0.25">
      <c r="A725" s="3" t="s">
        <v>18</v>
      </c>
      <c r="B725" s="3">
        <v>2013</v>
      </c>
      <c r="C725" s="3" t="s">
        <v>19</v>
      </c>
      <c r="D725" s="3" t="str">
        <f>"74/2013"</f>
        <v>74/2013</v>
      </c>
      <c r="E725" s="4">
        <v>41330</v>
      </c>
      <c r="F725" s="3" t="s">
        <v>1639</v>
      </c>
      <c r="G725" s="5"/>
      <c r="H725" s="3" t="s">
        <v>1640</v>
      </c>
      <c r="I725" s="3" t="str">
        <f>"5/20-2-2013"</f>
        <v>5/20-2-2013</v>
      </c>
      <c r="J725" s="4">
        <v>41325</v>
      </c>
      <c r="K725" s="6">
        <v>0.79166666666666663</v>
      </c>
      <c r="L725" s="3">
        <v>22</v>
      </c>
      <c r="M725" s="3" t="s">
        <v>62</v>
      </c>
      <c r="N725" s="3" t="s">
        <v>62</v>
      </c>
      <c r="O725" s="5"/>
      <c r="P725" s="3" t="s">
        <v>22</v>
      </c>
      <c r="Q725" s="7"/>
      <c r="R725" s="7"/>
    </row>
    <row r="726" spans="1:18" ht="76.5" x14ac:dyDescent="0.25">
      <c r="A726" s="3" t="s">
        <v>18</v>
      </c>
      <c r="B726" s="3">
        <v>2013</v>
      </c>
      <c r="C726" s="3" t="s">
        <v>19</v>
      </c>
      <c r="D726" s="3" t="str">
        <f>"740 / 2013"</f>
        <v>740 / 2013</v>
      </c>
      <c r="E726" s="4">
        <v>41571</v>
      </c>
      <c r="F726" s="3" t="s">
        <v>1641</v>
      </c>
      <c r="G726" s="5"/>
      <c r="H726" s="3" t="s">
        <v>1642</v>
      </c>
      <c r="I726" s="3" t="str">
        <f>"25 / 22-10-2013"</f>
        <v>25 / 22-10-2013</v>
      </c>
      <c r="J726" s="4">
        <v>41569</v>
      </c>
      <c r="K726" s="6">
        <v>0.875</v>
      </c>
      <c r="L726" s="3">
        <v>17</v>
      </c>
      <c r="M726" s="3" t="s">
        <v>132</v>
      </c>
      <c r="N726" s="3" t="s">
        <v>132</v>
      </c>
      <c r="O726" s="5"/>
      <c r="P726" s="3" t="s">
        <v>22</v>
      </c>
      <c r="Q726" s="7"/>
      <c r="R726" s="7"/>
    </row>
    <row r="727" spans="1:18" ht="63.75" x14ac:dyDescent="0.25">
      <c r="A727" s="3" t="s">
        <v>18</v>
      </c>
      <c r="B727" s="3">
        <v>2013</v>
      </c>
      <c r="C727" s="3" t="s">
        <v>19</v>
      </c>
      <c r="D727" s="3" t="str">
        <f>"741 / 2013"</f>
        <v>741 / 2013</v>
      </c>
      <c r="E727" s="4">
        <v>41571</v>
      </c>
      <c r="F727" s="3" t="s">
        <v>1643</v>
      </c>
      <c r="G727" s="5"/>
      <c r="H727" s="3" t="s">
        <v>1644</v>
      </c>
      <c r="I727" s="3" t="str">
        <f>"25 / 22-10-2013"</f>
        <v>25 / 22-10-2013</v>
      </c>
      <c r="J727" s="4">
        <v>41569</v>
      </c>
      <c r="K727" s="6">
        <v>0.875</v>
      </c>
      <c r="L727" s="5"/>
      <c r="M727" s="3" t="s">
        <v>333</v>
      </c>
      <c r="N727" s="3" t="s">
        <v>333</v>
      </c>
      <c r="O727" s="5"/>
      <c r="P727" s="3" t="s">
        <v>74</v>
      </c>
      <c r="Q727" s="7"/>
      <c r="R727" s="7"/>
    </row>
    <row r="728" spans="1:18" ht="63.75" x14ac:dyDescent="0.25">
      <c r="A728" s="3" t="s">
        <v>18</v>
      </c>
      <c r="B728" s="3">
        <v>2013</v>
      </c>
      <c r="C728" s="3" t="s">
        <v>19</v>
      </c>
      <c r="D728" s="3" t="str">
        <f>"742 / 2013"</f>
        <v>742 / 2013</v>
      </c>
      <c r="E728" s="4">
        <v>41639</v>
      </c>
      <c r="F728" s="3" t="s">
        <v>1645</v>
      </c>
      <c r="G728" s="5"/>
      <c r="H728" s="3" t="s">
        <v>1646</v>
      </c>
      <c r="I728" s="3" t="str">
        <f t="shared" ref="I728:I735" si="53">"26 / 06-11-2013"</f>
        <v>26 / 06-11-2013</v>
      </c>
      <c r="J728" s="4">
        <v>41584</v>
      </c>
      <c r="K728" s="6">
        <v>0.83333333333333337</v>
      </c>
      <c r="L728" s="3">
        <v>1</v>
      </c>
      <c r="M728" s="3" t="s">
        <v>1647</v>
      </c>
      <c r="N728" s="3" t="s">
        <v>1647</v>
      </c>
      <c r="O728" s="5"/>
      <c r="P728" s="3" t="s">
        <v>22</v>
      </c>
      <c r="Q728" s="7"/>
      <c r="R728" s="7"/>
    </row>
    <row r="729" spans="1:18" ht="76.5" x14ac:dyDescent="0.25">
      <c r="A729" s="3" t="s">
        <v>18</v>
      </c>
      <c r="B729" s="3">
        <v>2013</v>
      </c>
      <c r="C729" s="3" t="s">
        <v>19</v>
      </c>
      <c r="D729" s="3" t="str">
        <f>"743 / 2013"</f>
        <v>743 / 2013</v>
      </c>
      <c r="E729" s="4">
        <v>41639</v>
      </c>
      <c r="F729" s="3" t="s">
        <v>1648</v>
      </c>
      <c r="G729" s="5"/>
      <c r="H729" s="3" t="s">
        <v>1649</v>
      </c>
      <c r="I729" s="3" t="str">
        <f t="shared" si="53"/>
        <v>26 / 06-11-2013</v>
      </c>
      <c r="J729" s="4">
        <v>41584</v>
      </c>
      <c r="K729" s="6">
        <v>0.83333333333333337</v>
      </c>
      <c r="L729" s="3">
        <v>2</v>
      </c>
      <c r="M729" s="3" t="s">
        <v>1650</v>
      </c>
      <c r="N729" s="3" t="s">
        <v>1650</v>
      </c>
      <c r="O729" s="5"/>
      <c r="P729" s="3" t="s">
        <v>22</v>
      </c>
      <c r="Q729" s="7"/>
      <c r="R729" s="7"/>
    </row>
    <row r="730" spans="1:18" ht="63.75" x14ac:dyDescent="0.25">
      <c r="A730" s="3" t="s">
        <v>18</v>
      </c>
      <c r="B730" s="3">
        <v>2013</v>
      </c>
      <c r="C730" s="3" t="s">
        <v>19</v>
      </c>
      <c r="D730" s="3" t="str">
        <f>"744 / 2013"</f>
        <v>744 / 2013</v>
      </c>
      <c r="E730" s="4">
        <v>41590</v>
      </c>
      <c r="F730" s="3" t="s">
        <v>1651</v>
      </c>
      <c r="G730" s="5"/>
      <c r="H730" s="3" t="s">
        <v>1652</v>
      </c>
      <c r="I730" s="3" t="str">
        <f t="shared" si="53"/>
        <v>26 / 06-11-2013</v>
      </c>
      <c r="J730" s="4">
        <v>41584</v>
      </c>
      <c r="K730" s="6">
        <v>0.83333333333333337</v>
      </c>
      <c r="L730" s="3">
        <v>3</v>
      </c>
      <c r="M730" s="3" t="s">
        <v>442</v>
      </c>
      <c r="N730" s="3" t="s">
        <v>442</v>
      </c>
      <c r="O730" s="5"/>
      <c r="P730" s="3" t="s">
        <v>22</v>
      </c>
      <c r="Q730" s="7"/>
      <c r="R730" s="7"/>
    </row>
    <row r="731" spans="1:18" ht="63.75" x14ac:dyDescent="0.25">
      <c r="A731" s="3" t="s">
        <v>18</v>
      </c>
      <c r="B731" s="3">
        <v>2013</v>
      </c>
      <c r="C731" s="3" t="s">
        <v>19</v>
      </c>
      <c r="D731" s="3" t="str">
        <f>"745 / 2013"</f>
        <v>745 / 2013</v>
      </c>
      <c r="E731" s="4">
        <v>41589</v>
      </c>
      <c r="F731" s="3" t="s">
        <v>1653</v>
      </c>
      <c r="G731" s="5"/>
      <c r="H731" s="3" t="s">
        <v>1654</v>
      </c>
      <c r="I731" s="3" t="str">
        <f t="shared" si="53"/>
        <v>26 / 06-11-2013</v>
      </c>
      <c r="J731" s="4">
        <v>41584</v>
      </c>
      <c r="K731" s="6">
        <v>0.83333333333333337</v>
      </c>
      <c r="L731" s="3">
        <v>4</v>
      </c>
      <c r="M731" s="3" t="s">
        <v>50</v>
      </c>
      <c r="N731" s="3" t="s">
        <v>50</v>
      </c>
      <c r="O731" s="5"/>
      <c r="P731" s="3" t="s">
        <v>22</v>
      </c>
      <c r="Q731" s="7"/>
      <c r="R731" s="7"/>
    </row>
    <row r="732" spans="1:18" ht="102" x14ac:dyDescent="0.25">
      <c r="A732" s="3" t="s">
        <v>18</v>
      </c>
      <c r="B732" s="3">
        <v>2013</v>
      </c>
      <c r="C732" s="3" t="s">
        <v>19</v>
      </c>
      <c r="D732" s="3" t="str">
        <f>"746 / 2013"</f>
        <v>746 / 2013</v>
      </c>
      <c r="E732" s="4">
        <v>41603</v>
      </c>
      <c r="F732" s="3" t="s">
        <v>1655</v>
      </c>
      <c r="G732" s="5"/>
      <c r="H732" s="3" t="s">
        <v>1656</v>
      </c>
      <c r="I732" s="3" t="str">
        <f t="shared" si="53"/>
        <v>26 / 06-11-2013</v>
      </c>
      <c r="J732" s="4">
        <v>41584</v>
      </c>
      <c r="K732" s="6">
        <v>0.83333333333333337</v>
      </c>
      <c r="L732" s="3">
        <v>5</v>
      </c>
      <c r="M732" s="3" t="s">
        <v>501</v>
      </c>
      <c r="N732" s="3" t="s">
        <v>501</v>
      </c>
      <c r="O732" s="5"/>
      <c r="P732" s="3" t="s">
        <v>22</v>
      </c>
      <c r="Q732" s="7"/>
      <c r="R732" s="7"/>
    </row>
    <row r="733" spans="1:18" ht="63.75" x14ac:dyDescent="0.25">
      <c r="A733" s="3" t="s">
        <v>18</v>
      </c>
      <c r="B733" s="3">
        <v>2013</v>
      </c>
      <c r="C733" s="3" t="s">
        <v>19</v>
      </c>
      <c r="D733" s="3" t="str">
        <f>"747 / 2013"</f>
        <v>747 / 2013</v>
      </c>
      <c r="E733" s="4">
        <v>41589</v>
      </c>
      <c r="F733" s="3" t="s">
        <v>1657</v>
      </c>
      <c r="G733" s="5"/>
      <c r="H733" s="3" t="s">
        <v>1658</v>
      </c>
      <c r="I733" s="3" t="str">
        <f t="shared" si="53"/>
        <v>26 / 06-11-2013</v>
      </c>
      <c r="J733" s="4">
        <v>41584</v>
      </c>
      <c r="K733" s="6">
        <v>0.83333333333333337</v>
      </c>
      <c r="L733" s="3">
        <v>6</v>
      </c>
      <c r="M733" s="3" t="s">
        <v>1319</v>
      </c>
      <c r="N733" s="3" t="s">
        <v>1659</v>
      </c>
      <c r="O733" s="5"/>
      <c r="P733" s="3" t="s">
        <v>22</v>
      </c>
      <c r="Q733" s="7"/>
      <c r="R733" s="7"/>
    </row>
    <row r="734" spans="1:18" ht="127.5" x14ac:dyDescent="0.25">
      <c r="A734" s="3" t="s">
        <v>18</v>
      </c>
      <c r="B734" s="3">
        <v>2013</v>
      </c>
      <c r="C734" s="3" t="s">
        <v>19</v>
      </c>
      <c r="D734" s="3" t="str">
        <f>"748 / 2013"</f>
        <v>748 / 2013</v>
      </c>
      <c r="E734" s="4">
        <v>41600</v>
      </c>
      <c r="F734" s="3" t="s">
        <v>1660</v>
      </c>
      <c r="G734" s="5"/>
      <c r="H734" s="3" t="s">
        <v>1661</v>
      </c>
      <c r="I734" s="3" t="str">
        <f t="shared" si="53"/>
        <v>26 / 06-11-2013</v>
      </c>
      <c r="J734" s="4">
        <v>41584</v>
      </c>
      <c r="K734" s="6">
        <v>0.83333333333333337</v>
      </c>
      <c r="L734" s="3">
        <v>7</v>
      </c>
      <c r="M734" s="3" t="s">
        <v>728</v>
      </c>
      <c r="N734" s="5"/>
      <c r="O734" s="5"/>
      <c r="P734" s="3" t="s">
        <v>22</v>
      </c>
      <c r="Q734" s="7"/>
      <c r="R734" s="7"/>
    </row>
    <row r="735" spans="1:18" ht="140.25" x14ac:dyDescent="0.25">
      <c r="A735" s="3" t="s">
        <v>18</v>
      </c>
      <c r="B735" s="3">
        <v>2013</v>
      </c>
      <c r="C735" s="3" t="s">
        <v>19</v>
      </c>
      <c r="D735" s="3" t="str">
        <f>"749 / 2013"</f>
        <v>749 / 2013</v>
      </c>
      <c r="E735" s="4">
        <v>41600</v>
      </c>
      <c r="F735" s="3" t="s">
        <v>1662</v>
      </c>
      <c r="G735" s="5"/>
      <c r="H735" s="3" t="s">
        <v>1663</v>
      </c>
      <c r="I735" s="3" t="str">
        <f t="shared" si="53"/>
        <v>26 / 06-11-2013</v>
      </c>
      <c r="J735" s="4">
        <v>41584</v>
      </c>
      <c r="K735" s="6">
        <v>0.83333333333333337</v>
      </c>
      <c r="L735" s="3">
        <v>7</v>
      </c>
      <c r="M735" s="3" t="s">
        <v>728</v>
      </c>
      <c r="N735" s="5"/>
      <c r="O735" s="5"/>
      <c r="P735" s="3" t="s">
        <v>22</v>
      </c>
      <c r="Q735" s="7"/>
      <c r="R735" s="7"/>
    </row>
    <row r="736" spans="1:18" ht="63.75" x14ac:dyDescent="0.25">
      <c r="A736" s="3" t="s">
        <v>18</v>
      </c>
      <c r="B736" s="3">
        <v>2013</v>
      </c>
      <c r="C736" s="3" t="s">
        <v>19</v>
      </c>
      <c r="D736" s="3" t="str">
        <f>"75/2013"</f>
        <v>75/2013</v>
      </c>
      <c r="E736" s="4">
        <v>41348</v>
      </c>
      <c r="F736" s="3" t="s">
        <v>1664</v>
      </c>
      <c r="G736" s="5"/>
      <c r="H736" s="3" t="s">
        <v>1665</v>
      </c>
      <c r="I736" s="3" t="str">
        <f>"5/20-02-2013"</f>
        <v>5/20-02-2013</v>
      </c>
      <c r="J736" s="4">
        <v>41325</v>
      </c>
      <c r="K736" s="6">
        <v>0.79166666666666663</v>
      </c>
      <c r="L736" s="3">
        <v>23</v>
      </c>
      <c r="M736" s="3" t="s">
        <v>178</v>
      </c>
      <c r="N736" s="3" t="s">
        <v>178</v>
      </c>
      <c r="O736" s="5"/>
      <c r="P736" s="3" t="s">
        <v>22</v>
      </c>
      <c r="Q736" s="7"/>
      <c r="R736" s="7"/>
    </row>
    <row r="737" spans="1:18" ht="114.75" x14ac:dyDescent="0.25">
      <c r="A737" s="3" t="s">
        <v>18</v>
      </c>
      <c r="B737" s="3">
        <v>2013</v>
      </c>
      <c r="C737" s="3" t="s">
        <v>19</v>
      </c>
      <c r="D737" s="3" t="str">
        <f>"750 / 2013"</f>
        <v>750 / 2013</v>
      </c>
      <c r="E737" s="4">
        <v>41590</v>
      </c>
      <c r="F737" s="3" t="s">
        <v>1666</v>
      </c>
      <c r="G737" s="5"/>
      <c r="H737" s="3" t="s">
        <v>1667</v>
      </c>
      <c r="I737" s="3" t="str">
        <f t="shared" ref="I737:I746" si="54">"26 / 06-11-2013"</f>
        <v>26 / 06-11-2013</v>
      </c>
      <c r="J737" s="4">
        <v>41584</v>
      </c>
      <c r="K737" s="6">
        <v>0.83333333333333337</v>
      </c>
      <c r="L737" s="3">
        <v>8</v>
      </c>
      <c r="M737" s="3" t="s">
        <v>1668</v>
      </c>
      <c r="N737" s="3" t="s">
        <v>1668</v>
      </c>
      <c r="O737" s="5"/>
      <c r="P737" s="3" t="s">
        <v>22</v>
      </c>
      <c r="Q737" s="7"/>
      <c r="R737" s="7"/>
    </row>
    <row r="738" spans="1:18" ht="38.25" x14ac:dyDescent="0.25">
      <c r="A738" s="3" t="s">
        <v>18</v>
      </c>
      <c r="B738" s="3">
        <v>2013</v>
      </c>
      <c r="C738" s="3" t="s">
        <v>19</v>
      </c>
      <c r="D738" s="3" t="str">
        <f>"751 / 2013"</f>
        <v>751 / 2013</v>
      </c>
      <c r="E738" s="4">
        <v>41586</v>
      </c>
      <c r="F738" s="3" t="s">
        <v>1669</v>
      </c>
      <c r="G738" s="5"/>
      <c r="H738" s="3" t="s">
        <v>1670</v>
      </c>
      <c r="I738" s="3" t="str">
        <f t="shared" si="54"/>
        <v>26 / 06-11-2013</v>
      </c>
      <c r="J738" s="4">
        <v>41584</v>
      </c>
      <c r="K738" s="6">
        <v>0.83333333333333337</v>
      </c>
      <c r="L738" s="3">
        <v>9</v>
      </c>
      <c r="M738" s="3" t="s">
        <v>50</v>
      </c>
      <c r="N738" s="3" t="s">
        <v>50</v>
      </c>
      <c r="O738" s="5"/>
      <c r="P738" s="3" t="s">
        <v>22</v>
      </c>
      <c r="Q738" s="7"/>
      <c r="R738" s="7"/>
    </row>
    <row r="739" spans="1:18" ht="76.5" x14ac:dyDescent="0.25">
      <c r="A739" s="3" t="s">
        <v>18</v>
      </c>
      <c r="B739" s="3">
        <v>2013</v>
      </c>
      <c r="C739" s="3" t="s">
        <v>19</v>
      </c>
      <c r="D739" s="3" t="str">
        <f>"752 / 2013"</f>
        <v>752 / 2013</v>
      </c>
      <c r="E739" s="4">
        <v>41589</v>
      </c>
      <c r="F739" s="3" t="s">
        <v>1671</v>
      </c>
      <c r="G739" s="5"/>
      <c r="H739" s="3" t="s">
        <v>1672</v>
      </c>
      <c r="I739" s="3" t="str">
        <f t="shared" si="54"/>
        <v>26 / 06-11-2013</v>
      </c>
      <c r="J739" s="4">
        <v>41584</v>
      </c>
      <c r="K739" s="6">
        <v>0.83333333333333337</v>
      </c>
      <c r="L739" s="3">
        <v>10</v>
      </c>
      <c r="M739" s="3" t="s">
        <v>50</v>
      </c>
      <c r="N739" s="3" t="s">
        <v>50</v>
      </c>
      <c r="O739" s="5"/>
      <c r="P739" s="3" t="s">
        <v>22</v>
      </c>
      <c r="Q739" s="7"/>
      <c r="R739" s="7"/>
    </row>
    <row r="740" spans="1:18" ht="89.25" x14ac:dyDescent="0.25">
      <c r="A740" s="3" t="s">
        <v>18</v>
      </c>
      <c r="B740" s="3">
        <v>2013</v>
      </c>
      <c r="C740" s="3" t="s">
        <v>19</v>
      </c>
      <c r="D740" s="3" t="str">
        <f>"753 / 2013"</f>
        <v>753 / 2013</v>
      </c>
      <c r="E740" s="4">
        <v>41589</v>
      </c>
      <c r="F740" s="3" t="s">
        <v>1673</v>
      </c>
      <c r="G740" s="5"/>
      <c r="H740" s="3" t="s">
        <v>1674</v>
      </c>
      <c r="I740" s="3" t="str">
        <f t="shared" si="54"/>
        <v>26 / 06-11-2013</v>
      </c>
      <c r="J740" s="4">
        <v>41584</v>
      </c>
      <c r="K740" s="6">
        <v>0.83333333333333337</v>
      </c>
      <c r="L740" s="3">
        <v>11</v>
      </c>
      <c r="M740" s="3" t="s">
        <v>126</v>
      </c>
      <c r="N740" s="3" t="s">
        <v>126</v>
      </c>
      <c r="O740" s="5"/>
      <c r="P740" s="3" t="s">
        <v>22</v>
      </c>
      <c r="Q740" s="7"/>
      <c r="R740" s="7"/>
    </row>
    <row r="741" spans="1:18" ht="89.25" x14ac:dyDescent="0.25">
      <c r="A741" s="3" t="s">
        <v>18</v>
      </c>
      <c r="B741" s="3">
        <v>2013</v>
      </c>
      <c r="C741" s="3" t="s">
        <v>19</v>
      </c>
      <c r="D741" s="3" t="str">
        <f>"754 / 2013"</f>
        <v>754 / 2013</v>
      </c>
      <c r="E741" s="4">
        <v>41590</v>
      </c>
      <c r="F741" s="3" t="s">
        <v>1675</v>
      </c>
      <c r="G741" s="5"/>
      <c r="H741" s="3" t="s">
        <v>1676</v>
      </c>
      <c r="I741" s="3" t="str">
        <f t="shared" si="54"/>
        <v>26 / 06-11-2013</v>
      </c>
      <c r="J741" s="4">
        <v>41584</v>
      </c>
      <c r="K741" s="6">
        <v>0.83333333333333337</v>
      </c>
      <c r="L741" s="3">
        <v>11</v>
      </c>
      <c r="M741" s="3" t="s">
        <v>126</v>
      </c>
      <c r="N741" s="3" t="s">
        <v>126</v>
      </c>
      <c r="O741" s="5"/>
      <c r="P741" s="3" t="s">
        <v>22</v>
      </c>
      <c r="Q741" s="7"/>
      <c r="R741" s="7"/>
    </row>
    <row r="742" spans="1:18" ht="102" x14ac:dyDescent="0.25">
      <c r="A742" s="3" t="s">
        <v>18</v>
      </c>
      <c r="B742" s="3">
        <v>2013</v>
      </c>
      <c r="C742" s="3" t="s">
        <v>19</v>
      </c>
      <c r="D742" s="3" t="str">
        <f>"755 / 2013"</f>
        <v>755 / 2013</v>
      </c>
      <c r="E742" s="4">
        <v>41590</v>
      </c>
      <c r="F742" s="3" t="s">
        <v>1677</v>
      </c>
      <c r="G742" s="5"/>
      <c r="H742" s="3" t="s">
        <v>1678</v>
      </c>
      <c r="I742" s="3" t="str">
        <f t="shared" si="54"/>
        <v>26 / 06-11-2013</v>
      </c>
      <c r="J742" s="4">
        <v>41584</v>
      </c>
      <c r="K742" s="6">
        <v>0.83333333333333337</v>
      </c>
      <c r="L742" s="3">
        <v>11</v>
      </c>
      <c r="M742" s="3" t="s">
        <v>126</v>
      </c>
      <c r="N742" s="3" t="s">
        <v>126</v>
      </c>
      <c r="O742" s="5"/>
      <c r="P742" s="3" t="s">
        <v>22</v>
      </c>
      <c r="Q742" s="7"/>
      <c r="R742" s="7"/>
    </row>
    <row r="743" spans="1:18" ht="76.5" x14ac:dyDescent="0.25">
      <c r="A743" s="3" t="s">
        <v>18</v>
      </c>
      <c r="B743" s="3">
        <v>2013</v>
      </c>
      <c r="C743" s="3" t="s">
        <v>19</v>
      </c>
      <c r="D743" s="3" t="str">
        <f>"756 / 2013"</f>
        <v>756 / 2013</v>
      </c>
      <c r="E743" s="4">
        <v>41584</v>
      </c>
      <c r="F743" s="3" t="s">
        <v>1679</v>
      </c>
      <c r="G743" s="5"/>
      <c r="H743" s="3" t="s">
        <v>1680</v>
      </c>
      <c r="I743" s="3" t="str">
        <f t="shared" si="54"/>
        <v>26 / 06-11-2013</v>
      </c>
      <c r="J743" s="4">
        <v>41584</v>
      </c>
      <c r="K743" s="6">
        <v>0.83333333333333337</v>
      </c>
      <c r="L743" s="3">
        <v>12</v>
      </c>
      <c r="M743" s="3" t="s">
        <v>552</v>
      </c>
      <c r="N743" s="3" t="s">
        <v>552</v>
      </c>
      <c r="O743" s="5"/>
      <c r="P743" s="3" t="s">
        <v>22</v>
      </c>
      <c r="Q743" s="7"/>
      <c r="R743" s="7"/>
    </row>
    <row r="744" spans="1:18" ht="63.75" x14ac:dyDescent="0.25">
      <c r="A744" s="3" t="s">
        <v>18</v>
      </c>
      <c r="B744" s="3">
        <v>2013</v>
      </c>
      <c r="C744" s="3" t="s">
        <v>19</v>
      </c>
      <c r="D744" s="3" t="str">
        <f>"757 / 2013"</f>
        <v>757 / 2013</v>
      </c>
      <c r="E744" s="4">
        <v>41591</v>
      </c>
      <c r="F744" s="3" t="s">
        <v>1681</v>
      </c>
      <c r="G744" s="5"/>
      <c r="H744" s="3" t="s">
        <v>1682</v>
      </c>
      <c r="I744" s="3" t="str">
        <f t="shared" si="54"/>
        <v>26 / 06-11-2013</v>
      </c>
      <c r="J744" s="4">
        <v>41584</v>
      </c>
      <c r="K744" s="6">
        <v>0.83333333333333337</v>
      </c>
      <c r="L744" s="3">
        <v>13</v>
      </c>
      <c r="M744" s="3" t="s">
        <v>1683</v>
      </c>
      <c r="N744" s="3" t="s">
        <v>1683</v>
      </c>
      <c r="O744" s="5"/>
      <c r="P744" s="3" t="s">
        <v>22</v>
      </c>
      <c r="Q744" s="7"/>
      <c r="R744" s="7"/>
    </row>
    <row r="745" spans="1:18" ht="63.75" x14ac:dyDescent="0.25">
      <c r="A745" s="3" t="s">
        <v>18</v>
      </c>
      <c r="B745" s="3">
        <v>2013</v>
      </c>
      <c r="C745" s="3" t="s">
        <v>19</v>
      </c>
      <c r="D745" s="3" t="str">
        <f>"758 / 2013"</f>
        <v>758 / 2013</v>
      </c>
      <c r="E745" s="4">
        <v>41591</v>
      </c>
      <c r="F745" s="3" t="s">
        <v>1684</v>
      </c>
      <c r="G745" s="5"/>
      <c r="H745" s="3" t="s">
        <v>1685</v>
      </c>
      <c r="I745" s="3" t="str">
        <f t="shared" si="54"/>
        <v>26 / 06-11-2013</v>
      </c>
      <c r="J745" s="4">
        <v>41584</v>
      </c>
      <c r="K745" s="6">
        <v>0.83333333333333337</v>
      </c>
      <c r="L745" s="3">
        <v>14</v>
      </c>
      <c r="M745" s="3" t="s">
        <v>56</v>
      </c>
      <c r="N745" s="3" t="s">
        <v>56</v>
      </c>
      <c r="O745" s="5"/>
      <c r="P745" s="3" t="s">
        <v>22</v>
      </c>
      <c r="Q745" s="7"/>
      <c r="R745" s="7"/>
    </row>
    <row r="746" spans="1:18" ht="51" x14ac:dyDescent="0.25">
      <c r="A746" s="3" t="s">
        <v>18</v>
      </c>
      <c r="B746" s="3">
        <v>2013</v>
      </c>
      <c r="C746" s="3" t="s">
        <v>19</v>
      </c>
      <c r="D746" s="3" t="str">
        <f>"759 / 2013"</f>
        <v>759 / 2013</v>
      </c>
      <c r="E746" s="4">
        <v>41596</v>
      </c>
      <c r="F746" s="3" t="s">
        <v>1686</v>
      </c>
      <c r="G746" s="5"/>
      <c r="H746" s="3" t="s">
        <v>1687</v>
      </c>
      <c r="I746" s="3" t="str">
        <f t="shared" si="54"/>
        <v>26 / 06-11-2013</v>
      </c>
      <c r="J746" s="4">
        <v>41584</v>
      </c>
      <c r="K746" s="6">
        <v>0.83333333333333337</v>
      </c>
      <c r="L746" s="3">
        <v>15</v>
      </c>
      <c r="M746" s="3" t="s">
        <v>549</v>
      </c>
      <c r="N746" s="3" t="s">
        <v>549</v>
      </c>
      <c r="O746" s="5"/>
      <c r="P746" s="3" t="s">
        <v>22</v>
      </c>
      <c r="Q746" s="7"/>
      <c r="R746" s="7"/>
    </row>
    <row r="747" spans="1:18" ht="89.25" x14ac:dyDescent="0.25">
      <c r="A747" s="3" t="s">
        <v>18</v>
      </c>
      <c r="B747" s="3">
        <v>2013</v>
      </c>
      <c r="C747" s="3" t="s">
        <v>19</v>
      </c>
      <c r="D747" s="3" t="str">
        <f>"76/2013"</f>
        <v>76/2013</v>
      </c>
      <c r="E747" s="4">
        <v>41332</v>
      </c>
      <c r="F747" s="3" t="s">
        <v>1688</v>
      </c>
      <c r="G747" s="5"/>
      <c r="H747" s="3" t="s">
        <v>1689</v>
      </c>
      <c r="I747" s="3" t="str">
        <f>"5/20/02/2013"</f>
        <v>5/20/02/2013</v>
      </c>
      <c r="J747" s="4">
        <v>41325</v>
      </c>
      <c r="K747" s="6">
        <v>0.79166666666666663</v>
      </c>
      <c r="L747" s="3">
        <v>24</v>
      </c>
      <c r="M747" s="3" t="s">
        <v>53</v>
      </c>
      <c r="N747" s="3" t="s">
        <v>53</v>
      </c>
      <c r="O747" s="5"/>
      <c r="P747" s="3" t="s">
        <v>22</v>
      </c>
      <c r="Q747" s="7"/>
      <c r="R747" s="7"/>
    </row>
    <row r="748" spans="1:18" ht="63.75" x14ac:dyDescent="0.25">
      <c r="A748" s="3" t="s">
        <v>18</v>
      </c>
      <c r="B748" s="3">
        <v>2013</v>
      </c>
      <c r="C748" s="3" t="s">
        <v>19</v>
      </c>
      <c r="D748" s="3" t="str">
        <f>"760 / 2013"</f>
        <v>760 / 2013</v>
      </c>
      <c r="E748" s="4">
        <v>41596</v>
      </c>
      <c r="F748" s="3" t="s">
        <v>1690</v>
      </c>
      <c r="G748" s="5"/>
      <c r="H748" s="3" t="s">
        <v>1691</v>
      </c>
      <c r="I748" s="3" t="str">
        <f t="shared" ref="I748:I757" si="55">"26 / 06-11-2013"</f>
        <v>26 / 06-11-2013</v>
      </c>
      <c r="J748" s="4">
        <v>41584</v>
      </c>
      <c r="K748" s="6">
        <v>0.83333333333333337</v>
      </c>
      <c r="L748" s="3">
        <v>15</v>
      </c>
      <c r="M748" s="3" t="s">
        <v>784</v>
      </c>
      <c r="N748" s="3" t="s">
        <v>784</v>
      </c>
      <c r="O748" s="5"/>
      <c r="P748" s="3" t="s">
        <v>22</v>
      </c>
      <c r="Q748" s="7"/>
      <c r="R748" s="7"/>
    </row>
    <row r="749" spans="1:18" ht="63.75" x14ac:dyDescent="0.25">
      <c r="A749" s="3" t="s">
        <v>18</v>
      </c>
      <c r="B749" s="3">
        <v>2013</v>
      </c>
      <c r="C749" s="3" t="s">
        <v>19</v>
      </c>
      <c r="D749" s="3" t="str">
        <f>"761 / 2013"</f>
        <v>761 / 2013</v>
      </c>
      <c r="E749" s="4">
        <v>41596</v>
      </c>
      <c r="F749" s="3" t="s">
        <v>1692</v>
      </c>
      <c r="G749" s="5"/>
      <c r="H749" s="3" t="s">
        <v>1693</v>
      </c>
      <c r="I749" s="3" t="str">
        <f t="shared" si="55"/>
        <v>26 / 06-11-2013</v>
      </c>
      <c r="J749" s="4">
        <v>41584</v>
      </c>
      <c r="K749" s="6">
        <v>0.83333333333333337</v>
      </c>
      <c r="L749" s="3">
        <v>15</v>
      </c>
      <c r="M749" s="3" t="s">
        <v>784</v>
      </c>
      <c r="N749" s="3" t="s">
        <v>784</v>
      </c>
      <c r="O749" s="5"/>
      <c r="P749" s="3" t="s">
        <v>22</v>
      </c>
      <c r="Q749" s="7"/>
      <c r="R749" s="7"/>
    </row>
    <row r="750" spans="1:18" ht="51" x14ac:dyDescent="0.25">
      <c r="A750" s="3" t="s">
        <v>18</v>
      </c>
      <c r="B750" s="3">
        <v>2013</v>
      </c>
      <c r="C750" s="3" t="s">
        <v>19</v>
      </c>
      <c r="D750" s="3" t="str">
        <f>"762 / 2013"</f>
        <v>762 / 2013</v>
      </c>
      <c r="E750" s="4">
        <v>41593</v>
      </c>
      <c r="F750" s="3" t="s">
        <v>1694</v>
      </c>
      <c r="G750" s="5"/>
      <c r="H750" s="3" t="s">
        <v>1695</v>
      </c>
      <c r="I750" s="3" t="str">
        <f t="shared" si="55"/>
        <v>26 / 06-11-2013</v>
      </c>
      <c r="J750" s="4">
        <v>41584</v>
      </c>
      <c r="K750" s="6">
        <v>0.83333333333333337</v>
      </c>
      <c r="L750" s="3">
        <v>16</v>
      </c>
      <c r="M750" s="3" t="s">
        <v>56</v>
      </c>
      <c r="N750" s="3" t="s">
        <v>56</v>
      </c>
      <c r="O750" s="5"/>
      <c r="P750" s="3" t="s">
        <v>22</v>
      </c>
      <c r="Q750" s="7"/>
      <c r="R750" s="7"/>
    </row>
    <row r="751" spans="1:18" ht="76.5" x14ac:dyDescent="0.25">
      <c r="A751" s="3" t="s">
        <v>18</v>
      </c>
      <c r="B751" s="3">
        <v>2013</v>
      </c>
      <c r="C751" s="3" t="s">
        <v>19</v>
      </c>
      <c r="D751" s="3" t="str">
        <f>"763 / 2013"</f>
        <v>763 / 2013</v>
      </c>
      <c r="E751" s="4">
        <v>41593</v>
      </c>
      <c r="F751" s="3" t="s">
        <v>1696</v>
      </c>
      <c r="G751" s="5"/>
      <c r="H751" s="3" t="s">
        <v>1697</v>
      </c>
      <c r="I751" s="3" t="str">
        <f t="shared" si="55"/>
        <v>26 / 06-11-2013</v>
      </c>
      <c r="J751" s="4">
        <v>41584</v>
      </c>
      <c r="K751" s="6">
        <v>0.83333333333333337</v>
      </c>
      <c r="L751" s="3">
        <v>16</v>
      </c>
      <c r="M751" s="3" t="s">
        <v>549</v>
      </c>
      <c r="N751" s="3" t="s">
        <v>549</v>
      </c>
      <c r="O751" s="5"/>
      <c r="P751" s="3" t="s">
        <v>22</v>
      </c>
      <c r="Q751" s="7"/>
      <c r="R751" s="7"/>
    </row>
    <row r="752" spans="1:18" ht="63.75" x14ac:dyDescent="0.25">
      <c r="A752" s="3" t="s">
        <v>18</v>
      </c>
      <c r="B752" s="3">
        <v>2013</v>
      </c>
      <c r="C752" s="3" t="s">
        <v>19</v>
      </c>
      <c r="D752" s="3" t="str">
        <f>"764 / 2013"</f>
        <v>764 / 2013</v>
      </c>
      <c r="E752" s="4">
        <v>41598</v>
      </c>
      <c r="F752" s="3" t="s">
        <v>1698</v>
      </c>
      <c r="G752" s="5"/>
      <c r="H752" s="3" t="s">
        <v>1699</v>
      </c>
      <c r="I752" s="3" t="str">
        <f t="shared" si="55"/>
        <v>26 / 06-11-2013</v>
      </c>
      <c r="J752" s="4">
        <v>41584</v>
      </c>
      <c r="K752" s="6">
        <v>0.83333333333333337</v>
      </c>
      <c r="L752" s="3">
        <v>17</v>
      </c>
      <c r="M752" s="3" t="s">
        <v>56</v>
      </c>
      <c r="N752" s="3" t="s">
        <v>56</v>
      </c>
      <c r="O752" s="5"/>
      <c r="P752" s="3" t="s">
        <v>22</v>
      </c>
      <c r="Q752" s="7"/>
      <c r="R752" s="7"/>
    </row>
    <row r="753" spans="1:18" ht="76.5" x14ac:dyDescent="0.25">
      <c r="A753" s="3" t="s">
        <v>18</v>
      </c>
      <c r="B753" s="3">
        <v>2013</v>
      </c>
      <c r="C753" s="3" t="s">
        <v>19</v>
      </c>
      <c r="D753" s="3" t="str">
        <f>"765 / 2013"</f>
        <v>765 / 2013</v>
      </c>
      <c r="E753" s="4">
        <v>41591</v>
      </c>
      <c r="F753" s="3" t="s">
        <v>1700</v>
      </c>
      <c r="G753" s="5"/>
      <c r="H753" s="3" t="s">
        <v>1701</v>
      </c>
      <c r="I753" s="3" t="str">
        <f t="shared" si="55"/>
        <v>26 / 06-11-2013</v>
      </c>
      <c r="J753" s="4">
        <v>41584</v>
      </c>
      <c r="K753" s="6">
        <v>0.83333333333333337</v>
      </c>
      <c r="L753" s="3">
        <v>17</v>
      </c>
      <c r="M753" s="3" t="s">
        <v>56</v>
      </c>
      <c r="N753" s="3" t="s">
        <v>56</v>
      </c>
      <c r="O753" s="5"/>
      <c r="P753" s="3" t="s">
        <v>22</v>
      </c>
      <c r="Q753" s="7"/>
      <c r="R753" s="7"/>
    </row>
    <row r="754" spans="1:18" ht="51" x14ac:dyDescent="0.25">
      <c r="A754" s="3" t="s">
        <v>18</v>
      </c>
      <c r="B754" s="3">
        <v>2013</v>
      </c>
      <c r="C754" s="3" t="s">
        <v>19</v>
      </c>
      <c r="D754" s="3" t="str">
        <f>"766 / 2013"</f>
        <v>766 / 2013</v>
      </c>
      <c r="E754" s="4">
        <v>41591</v>
      </c>
      <c r="F754" s="3" t="s">
        <v>1702</v>
      </c>
      <c r="G754" s="5"/>
      <c r="H754" s="3" t="s">
        <v>1703</v>
      </c>
      <c r="I754" s="3" t="str">
        <f t="shared" si="55"/>
        <v>26 / 06-11-2013</v>
      </c>
      <c r="J754" s="4">
        <v>41584</v>
      </c>
      <c r="K754" s="6">
        <v>0.83333333333333337</v>
      </c>
      <c r="L754" s="3">
        <v>17</v>
      </c>
      <c r="M754" s="3" t="s">
        <v>56</v>
      </c>
      <c r="N754" s="3" t="s">
        <v>56</v>
      </c>
      <c r="O754" s="5"/>
      <c r="P754" s="3" t="s">
        <v>22</v>
      </c>
      <c r="Q754" s="7"/>
      <c r="R754" s="7"/>
    </row>
    <row r="755" spans="1:18" ht="51" x14ac:dyDescent="0.25">
      <c r="A755" s="3" t="s">
        <v>18</v>
      </c>
      <c r="B755" s="3">
        <v>2013</v>
      </c>
      <c r="C755" s="3" t="s">
        <v>19</v>
      </c>
      <c r="D755" s="3" t="str">
        <f>"767 / 2013"</f>
        <v>767 / 2013</v>
      </c>
      <c r="E755" s="4">
        <v>41591</v>
      </c>
      <c r="F755" s="3" t="s">
        <v>1704</v>
      </c>
      <c r="G755" s="5"/>
      <c r="H755" s="3" t="s">
        <v>1705</v>
      </c>
      <c r="I755" s="3" t="str">
        <f t="shared" si="55"/>
        <v>26 / 06-11-2013</v>
      </c>
      <c r="J755" s="4">
        <v>41584</v>
      </c>
      <c r="K755" s="6">
        <v>0.83333333333333337</v>
      </c>
      <c r="L755" s="3">
        <v>17</v>
      </c>
      <c r="M755" s="3" t="s">
        <v>56</v>
      </c>
      <c r="N755" s="3" t="s">
        <v>56</v>
      </c>
      <c r="O755" s="5"/>
      <c r="P755" s="3" t="s">
        <v>22</v>
      </c>
      <c r="Q755" s="7"/>
      <c r="R755" s="7"/>
    </row>
    <row r="756" spans="1:18" ht="51" x14ac:dyDescent="0.25">
      <c r="A756" s="3" t="s">
        <v>18</v>
      </c>
      <c r="B756" s="3">
        <v>2013</v>
      </c>
      <c r="C756" s="3" t="s">
        <v>19</v>
      </c>
      <c r="D756" s="3" t="str">
        <f>"768 / 2013"</f>
        <v>768 / 2013</v>
      </c>
      <c r="E756" s="4">
        <v>41591</v>
      </c>
      <c r="F756" s="3" t="s">
        <v>1706</v>
      </c>
      <c r="G756" s="5"/>
      <c r="H756" s="3" t="s">
        <v>1707</v>
      </c>
      <c r="I756" s="3" t="str">
        <f t="shared" si="55"/>
        <v>26 / 06-11-2013</v>
      </c>
      <c r="J756" s="4">
        <v>41584</v>
      </c>
      <c r="K756" s="6">
        <v>0.83333333333333337</v>
      </c>
      <c r="L756" s="3">
        <v>18</v>
      </c>
      <c r="M756" s="3" t="s">
        <v>56</v>
      </c>
      <c r="N756" s="3" t="s">
        <v>56</v>
      </c>
      <c r="O756" s="5"/>
      <c r="P756" s="3" t="s">
        <v>22</v>
      </c>
      <c r="Q756" s="7"/>
      <c r="R756" s="7"/>
    </row>
    <row r="757" spans="1:18" ht="38.25" x14ac:dyDescent="0.25">
      <c r="A757" s="3" t="s">
        <v>18</v>
      </c>
      <c r="B757" s="3">
        <v>2013</v>
      </c>
      <c r="C757" s="3" t="s">
        <v>19</v>
      </c>
      <c r="D757" s="3" t="str">
        <f>"769 / 2013"</f>
        <v>769 / 2013</v>
      </c>
      <c r="E757" s="4">
        <v>41592</v>
      </c>
      <c r="F757" s="3" t="s">
        <v>1708</v>
      </c>
      <c r="G757" s="5"/>
      <c r="H757" s="3" t="s">
        <v>1709</v>
      </c>
      <c r="I757" s="3" t="str">
        <f t="shared" si="55"/>
        <v>26 / 06-11-2013</v>
      </c>
      <c r="J757" s="4">
        <v>41584</v>
      </c>
      <c r="K757" s="6">
        <v>0.83333333333333337</v>
      </c>
      <c r="L757" s="3">
        <v>18</v>
      </c>
      <c r="M757" s="3" t="s">
        <v>56</v>
      </c>
      <c r="N757" s="3" t="s">
        <v>56</v>
      </c>
      <c r="O757" s="5"/>
      <c r="P757" s="3" t="s">
        <v>22</v>
      </c>
      <c r="Q757" s="7"/>
      <c r="R757" s="7"/>
    </row>
    <row r="758" spans="1:18" ht="89.25" x14ac:dyDescent="0.25">
      <c r="A758" s="3" t="s">
        <v>18</v>
      </c>
      <c r="B758" s="3">
        <v>2013</v>
      </c>
      <c r="C758" s="3" t="s">
        <v>19</v>
      </c>
      <c r="D758" s="3" t="str">
        <f>"77/2013"</f>
        <v>77/2013</v>
      </c>
      <c r="E758" s="4">
        <v>41327</v>
      </c>
      <c r="F758" s="3" t="s">
        <v>1710</v>
      </c>
      <c r="G758" s="5"/>
      <c r="H758" s="3" t="s">
        <v>1711</v>
      </c>
      <c r="I758" s="3" t="str">
        <f>"5/20-02-2013"</f>
        <v>5/20-02-2013</v>
      </c>
      <c r="J758" s="4">
        <v>41325</v>
      </c>
      <c r="K758" s="6">
        <v>0.79166666666666663</v>
      </c>
      <c r="L758" s="3">
        <v>25</v>
      </c>
      <c r="M758" s="3" t="s">
        <v>53</v>
      </c>
      <c r="N758" s="3" t="s">
        <v>53</v>
      </c>
      <c r="O758" s="5"/>
      <c r="P758" s="3" t="s">
        <v>22</v>
      </c>
      <c r="Q758" s="7"/>
      <c r="R758" s="7"/>
    </row>
    <row r="759" spans="1:18" ht="63.75" x14ac:dyDescent="0.25">
      <c r="A759" s="3" t="s">
        <v>18</v>
      </c>
      <c r="B759" s="3">
        <v>2013</v>
      </c>
      <c r="C759" s="3" t="s">
        <v>19</v>
      </c>
      <c r="D759" s="3" t="str">
        <f>"770 / 2013"</f>
        <v>770 / 2013</v>
      </c>
      <c r="E759" s="4">
        <v>41592</v>
      </c>
      <c r="F759" s="3" t="s">
        <v>1712</v>
      </c>
      <c r="G759" s="5"/>
      <c r="H759" s="3" t="s">
        <v>1713</v>
      </c>
      <c r="I759" s="3" t="str">
        <f t="shared" ref="I759:I766" si="56">"26 / 06-11-2013"</f>
        <v>26 / 06-11-2013</v>
      </c>
      <c r="J759" s="4">
        <v>41584</v>
      </c>
      <c r="K759" s="6">
        <v>0.83333333333333337</v>
      </c>
      <c r="L759" s="3">
        <v>19</v>
      </c>
      <c r="M759" s="3" t="s">
        <v>56</v>
      </c>
      <c r="N759" s="3" t="s">
        <v>56</v>
      </c>
      <c r="O759" s="5"/>
      <c r="P759" s="3" t="s">
        <v>22</v>
      </c>
      <c r="Q759" s="7"/>
      <c r="R759" s="7"/>
    </row>
    <row r="760" spans="1:18" ht="63.75" x14ac:dyDescent="0.25">
      <c r="A760" s="3" t="s">
        <v>18</v>
      </c>
      <c r="B760" s="3">
        <v>2013</v>
      </c>
      <c r="C760" s="3" t="s">
        <v>19</v>
      </c>
      <c r="D760" s="3" t="str">
        <f>"771 / 2013"</f>
        <v>771 / 2013</v>
      </c>
      <c r="E760" s="4">
        <v>41590</v>
      </c>
      <c r="F760" s="3" t="s">
        <v>1714</v>
      </c>
      <c r="G760" s="5"/>
      <c r="H760" s="3" t="s">
        <v>1715</v>
      </c>
      <c r="I760" s="3" t="str">
        <f t="shared" si="56"/>
        <v>26 / 06-11-2013</v>
      </c>
      <c r="J760" s="4">
        <v>41584</v>
      </c>
      <c r="K760" s="6">
        <v>0.83333333333333337</v>
      </c>
      <c r="L760" s="3">
        <v>20</v>
      </c>
      <c r="M760" s="3" t="s">
        <v>56</v>
      </c>
      <c r="N760" s="3" t="s">
        <v>56</v>
      </c>
      <c r="O760" s="5"/>
      <c r="P760" s="3" t="s">
        <v>22</v>
      </c>
      <c r="Q760" s="7"/>
      <c r="R760" s="7"/>
    </row>
    <row r="761" spans="1:18" ht="51" x14ac:dyDescent="0.25">
      <c r="A761" s="3" t="s">
        <v>18</v>
      </c>
      <c r="B761" s="3">
        <v>2013</v>
      </c>
      <c r="C761" s="3" t="s">
        <v>19</v>
      </c>
      <c r="D761" s="3" t="str">
        <f>"772 / 2013"</f>
        <v>772 / 2013</v>
      </c>
      <c r="E761" s="4">
        <v>41586</v>
      </c>
      <c r="F761" s="3" t="s">
        <v>1716</v>
      </c>
      <c r="G761" s="5"/>
      <c r="H761" s="3" t="s">
        <v>1717</v>
      </c>
      <c r="I761" s="3" t="str">
        <f t="shared" si="56"/>
        <v>26 / 06-11-2013</v>
      </c>
      <c r="J761" s="4">
        <v>41584</v>
      </c>
      <c r="K761" s="6">
        <v>0.83333333333333337</v>
      </c>
      <c r="L761" s="3">
        <v>21</v>
      </c>
      <c r="M761" s="3" t="s">
        <v>355</v>
      </c>
      <c r="N761" s="3" t="s">
        <v>355</v>
      </c>
      <c r="O761" s="5"/>
      <c r="P761" s="3" t="s">
        <v>22</v>
      </c>
      <c r="Q761" s="7"/>
      <c r="R761" s="7"/>
    </row>
    <row r="762" spans="1:18" ht="89.25" x14ac:dyDescent="0.25">
      <c r="A762" s="3" t="s">
        <v>18</v>
      </c>
      <c r="B762" s="3">
        <v>2013</v>
      </c>
      <c r="C762" s="3" t="s">
        <v>19</v>
      </c>
      <c r="D762" s="3" t="str">
        <f>"773 / 2013"</f>
        <v>773 / 2013</v>
      </c>
      <c r="E762" s="4">
        <v>41586</v>
      </c>
      <c r="F762" s="3" t="s">
        <v>1718</v>
      </c>
      <c r="G762" s="5"/>
      <c r="H762" s="3" t="s">
        <v>1719</v>
      </c>
      <c r="I762" s="3" t="str">
        <f t="shared" si="56"/>
        <v>26 / 06-11-2013</v>
      </c>
      <c r="J762" s="4">
        <v>41584</v>
      </c>
      <c r="K762" s="6">
        <v>0.83333333333333337</v>
      </c>
      <c r="L762" s="3">
        <v>22</v>
      </c>
      <c r="M762" s="3" t="s">
        <v>352</v>
      </c>
      <c r="N762" s="3" t="s">
        <v>352</v>
      </c>
      <c r="O762" s="5"/>
      <c r="P762" s="3" t="s">
        <v>22</v>
      </c>
      <c r="Q762" s="7"/>
      <c r="R762" s="7"/>
    </row>
    <row r="763" spans="1:18" ht="127.5" x14ac:dyDescent="0.25">
      <c r="A763" s="3" t="s">
        <v>18</v>
      </c>
      <c r="B763" s="3">
        <v>2013</v>
      </c>
      <c r="C763" s="3" t="s">
        <v>19</v>
      </c>
      <c r="D763" s="3" t="str">
        <f>"774 / 2013"</f>
        <v>774 / 2013</v>
      </c>
      <c r="E763" s="4">
        <v>41586</v>
      </c>
      <c r="F763" s="3" t="s">
        <v>1720</v>
      </c>
      <c r="G763" s="5"/>
      <c r="H763" s="3" t="s">
        <v>1721</v>
      </c>
      <c r="I763" s="3" t="str">
        <f t="shared" si="56"/>
        <v>26 / 06-11-2013</v>
      </c>
      <c r="J763" s="4">
        <v>41584</v>
      </c>
      <c r="K763" s="6">
        <v>0.83333333333333337</v>
      </c>
      <c r="L763" s="3">
        <v>22</v>
      </c>
      <c r="M763" s="3" t="s">
        <v>352</v>
      </c>
      <c r="N763" s="3" t="s">
        <v>352</v>
      </c>
      <c r="O763" s="5"/>
      <c r="P763" s="3" t="s">
        <v>22</v>
      </c>
      <c r="Q763" s="7"/>
      <c r="R763" s="7"/>
    </row>
    <row r="764" spans="1:18" ht="51" x14ac:dyDescent="0.25">
      <c r="A764" s="3" t="s">
        <v>18</v>
      </c>
      <c r="B764" s="3">
        <v>2013</v>
      </c>
      <c r="C764" s="3" t="s">
        <v>19</v>
      </c>
      <c r="D764" s="3" t="str">
        <f>"775 / 2013"</f>
        <v>775 / 2013</v>
      </c>
      <c r="E764" s="4">
        <v>41586</v>
      </c>
      <c r="F764" s="3" t="s">
        <v>1722</v>
      </c>
      <c r="G764" s="5"/>
      <c r="H764" s="3" t="s">
        <v>1723</v>
      </c>
      <c r="I764" s="3" t="str">
        <f t="shared" si="56"/>
        <v>26 / 06-11-2013</v>
      </c>
      <c r="J764" s="4">
        <v>41584</v>
      </c>
      <c r="K764" s="6">
        <v>0.83333333333333337</v>
      </c>
      <c r="L764" s="3">
        <v>23</v>
      </c>
      <c r="M764" s="3" t="s">
        <v>32</v>
      </c>
      <c r="N764" s="3" t="s">
        <v>32</v>
      </c>
      <c r="O764" s="5"/>
      <c r="P764" s="3" t="s">
        <v>22</v>
      </c>
      <c r="Q764" s="7"/>
      <c r="R764" s="7"/>
    </row>
    <row r="765" spans="1:18" ht="51" x14ac:dyDescent="0.25">
      <c r="A765" s="3" t="s">
        <v>18</v>
      </c>
      <c r="B765" s="3">
        <v>2013</v>
      </c>
      <c r="C765" s="3" t="s">
        <v>19</v>
      </c>
      <c r="D765" s="3" t="str">
        <f>"776 / 2013"</f>
        <v>776 / 2013</v>
      </c>
      <c r="E765" s="4">
        <v>41586</v>
      </c>
      <c r="F765" s="3" t="s">
        <v>1724</v>
      </c>
      <c r="G765" s="5"/>
      <c r="H765" s="3" t="s">
        <v>1725</v>
      </c>
      <c r="I765" s="3" t="str">
        <f t="shared" si="56"/>
        <v>26 / 06-11-2013</v>
      </c>
      <c r="J765" s="4">
        <v>41584</v>
      </c>
      <c r="K765" s="6">
        <v>0.83333333333333337</v>
      </c>
      <c r="L765" s="3">
        <v>23</v>
      </c>
      <c r="M765" s="3" t="s">
        <v>32</v>
      </c>
      <c r="N765" s="3" t="s">
        <v>32</v>
      </c>
      <c r="O765" s="5"/>
      <c r="P765" s="3" t="s">
        <v>22</v>
      </c>
      <c r="Q765" s="7"/>
      <c r="R765" s="7"/>
    </row>
    <row r="766" spans="1:18" ht="89.25" x14ac:dyDescent="0.25">
      <c r="A766" s="3" t="s">
        <v>18</v>
      </c>
      <c r="B766" s="3">
        <v>2013</v>
      </c>
      <c r="C766" s="3" t="s">
        <v>19</v>
      </c>
      <c r="D766" s="3" t="str">
        <f>"777 / 2013"</f>
        <v>777 / 2013</v>
      </c>
      <c r="E766" s="4">
        <v>41597</v>
      </c>
      <c r="F766" s="3" t="s">
        <v>1726</v>
      </c>
      <c r="G766" s="5"/>
      <c r="H766" s="3" t="s">
        <v>1727</v>
      </c>
      <c r="I766" s="3" t="str">
        <f t="shared" si="56"/>
        <v>26 / 06-11-2013</v>
      </c>
      <c r="J766" s="4">
        <v>41584</v>
      </c>
      <c r="K766" s="6">
        <v>0.83333333333333337</v>
      </c>
      <c r="L766" s="3">
        <v>24</v>
      </c>
      <c r="M766" s="3" t="s">
        <v>32</v>
      </c>
      <c r="N766" s="3" t="s">
        <v>32</v>
      </c>
      <c r="O766" s="5"/>
      <c r="P766" s="3" t="s">
        <v>22</v>
      </c>
      <c r="Q766" s="7"/>
      <c r="R766" s="7"/>
    </row>
    <row r="767" spans="1:18" ht="63.75" x14ac:dyDescent="0.25">
      <c r="A767" s="3" t="s">
        <v>18</v>
      </c>
      <c r="B767" s="3">
        <v>2013</v>
      </c>
      <c r="C767" s="3" t="s">
        <v>19</v>
      </c>
      <c r="D767" s="3" t="str">
        <f>"778 / 2013"</f>
        <v>778 / 2013</v>
      </c>
      <c r="E767" s="4">
        <v>41591</v>
      </c>
      <c r="F767" s="3" t="s">
        <v>1728</v>
      </c>
      <c r="G767" s="5"/>
      <c r="H767" s="3" t="s">
        <v>1729</v>
      </c>
      <c r="I767" s="3" t="str">
        <f>"27 / 13-11-2013"</f>
        <v>27 / 13-11-2013</v>
      </c>
      <c r="J767" s="4">
        <v>41591</v>
      </c>
      <c r="K767" s="6">
        <v>0.79166666666666663</v>
      </c>
      <c r="L767" s="3">
        <v>1</v>
      </c>
      <c r="M767" s="5"/>
      <c r="N767" s="5"/>
      <c r="O767" s="5"/>
      <c r="P767" s="3" t="s">
        <v>22</v>
      </c>
      <c r="Q767" s="7"/>
      <c r="R767" s="7"/>
    </row>
    <row r="768" spans="1:18" ht="63.75" x14ac:dyDescent="0.25">
      <c r="A768" s="3" t="s">
        <v>18</v>
      </c>
      <c r="B768" s="3">
        <v>2013</v>
      </c>
      <c r="C768" s="3" t="s">
        <v>19</v>
      </c>
      <c r="D768" s="3" t="str">
        <f>"779 / 2013"</f>
        <v>779 / 2013</v>
      </c>
      <c r="E768" s="4">
        <v>41593</v>
      </c>
      <c r="F768" s="3" t="s">
        <v>1730</v>
      </c>
      <c r="G768" s="5"/>
      <c r="H768" s="3" t="s">
        <v>1731</v>
      </c>
      <c r="I768" s="3" t="str">
        <f>"27 / 13-11-2013"</f>
        <v>27 / 13-11-2013</v>
      </c>
      <c r="J768" s="4">
        <v>41591</v>
      </c>
      <c r="K768" s="6">
        <v>0.79166666666666663</v>
      </c>
      <c r="L768" s="3">
        <v>2</v>
      </c>
      <c r="M768" s="3" t="s">
        <v>333</v>
      </c>
      <c r="N768" s="3" t="s">
        <v>333</v>
      </c>
      <c r="O768" s="5"/>
      <c r="P768" s="3" t="s">
        <v>22</v>
      </c>
      <c r="Q768" s="7"/>
      <c r="R768" s="7"/>
    </row>
    <row r="769" spans="1:18" ht="38.25" x14ac:dyDescent="0.25">
      <c r="A769" s="3" t="s">
        <v>18</v>
      </c>
      <c r="B769" s="3">
        <v>2013</v>
      </c>
      <c r="C769" s="3" t="s">
        <v>19</v>
      </c>
      <c r="D769" s="3" t="str">
        <f>"78/2013"</f>
        <v>78/2013</v>
      </c>
      <c r="E769" s="4">
        <v>41332</v>
      </c>
      <c r="F769" s="3" t="s">
        <v>1732</v>
      </c>
      <c r="G769" s="5"/>
      <c r="H769" s="3" t="s">
        <v>1733</v>
      </c>
      <c r="I769" s="3" t="str">
        <f>"5/20-02-2013"</f>
        <v>5/20-02-2013</v>
      </c>
      <c r="J769" s="4">
        <v>41325</v>
      </c>
      <c r="K769" s="6">
        <v>0.79166666666666663</v>
      </c>
      <c r="L769" s="3">
        <v>26</v>
      </c>
      <c r="M769" s="3" t="s">
        <v>53</v>
      </c>
      <c r="N769" s="3" t="s">
        <v>53</v>
      </c>
      <c r="O769" s="5"/>
      <c r="P769" s="3" t="s">
        <v>22</v>
      </c>
      <c r="Q769" s="7"/>
      <c r="R769" s="7"/>
    </row>
    <row r="770" spans="1:18" ht="76.5" x14ac:dyDescent="0.25">
      <c r="A770" s="3" t="s">
        <v>18</v>
      </c>
      <c r="B770" s="3">
        <v>2013</v>
      </c>
      <c r="C770" s="3" t="s">
        <v>19</v>
      </c>
      <c r="D770" s="3" t="str">
        <f>"780 / 2013"</f>
        <v>780 / 2013</v>
      </c>
      <c r="E770" s="4">
        <v>41610</v>
      </c>
      <c r="F770" s="3" t="s">
        <v>1734</v>
      </c>
      <c r="G770" s="5"/>
      <c r="H770" s="3" t="s">
        <v>1735</v>
      </c>
      <c r="I770" s="3" t="str">
        <f t="shared" ref="I770:I779" si="57">"27 / 13-11-2013"</f>
        <v>27 / 13-11-2013</v>
      </c>
      <c r="J770" s="4">
        <v>41591</v>
      </c>
      <c r="K770" s="6">
        <v>0.79166666666666663</v>
      </c>
      <c r="L770" s="3">
        <v>3</v>
      </c>
      <c r="M770" s="3" t="s">
        <v>32</v>
      </c>
      <c r="N770" s="3" t="s">
        <v>32</v>
      </c>
      <c r="O770" s="5"/>
      <c r="P770" s="3" t="s">
        <v>22</v>
      </c>
      <c r="Q770" s="7"/>
      <c r="R770" s="7"/>
    </row>
    <row r="771" spans="1:18" ht="63.75" x14ac:dyDescent="0.25">
      <c r="A771" s="3" t="s">
        <v>18</v>
      </c>
      <c r="B771" s="3">
        <v>2013</v>
      </c>
      <c r="C771" s="3" t="s">
        <v>19</v>
      </c>
      <c r="D771" s="3" t="str">
        <f>"781 / 2013"</f>
        <v>781 / 2013</v>
      </c>
      <c r="E771" s="4">
        <v>41598</v>
      </c>
      <c r="F771" s="3" t="s">
        <v>1736</v>
      </c>
      <c r="G771" s="5"/>
      <c r="H771" s="3" t="s">
        <v>1737</v>
      </c>
      <c r="I771" s="3" t="str">
        <f t="shared" si="57"/>
        <v>27 / 13-11-2013</v>
      </c>
      <c r="J771" s="4">
        <v>41591</v>
      </c>
      <c r="K771" s="6">
        <v>0.79166666666666663</v>
      </c>
      <c r="L771" s="3">
        <v>4</v>
      </c>
      <c r="M771" s="3" t="s">
        <v>32</v>
      </c>
      <c r="N771" s="3" t="s">
        <v>32</v>
      </c>
      <c r="O771" s="5"/>
      <c r="P771" s="3" t="s">
        <v>22</v>
      </c>
      <c r="Q771" s="7"/>
      <c r="R771" s="7"/>
    </row>
    <row r="772" spans="1:18" ht="89.25" x14ac:dyDescent="0.25">
      <c r="A772" s="3" t="s">
        <v>18</v>
      </c>
      <c r="B772" s="3">
        <v>2013</v>
      </c>
      <c r="C772" s="3" t="s">
        <v>19</v>
      </c>
      <c r="D772" s="3" t="str">
        <f>"782 / 2013"</f>
        <v>782 / 2013</v>
      </c>
      <c r="E772" s="4">
        <v>41592</v>
      </c>
      <c r="F772" s="3" t="s">
        <v>1738</v>
      </c>
      <c r="G772" s="5"/>
      <c r="H772" s="3" t="s">
        <v>1739</v>
      </c>
      <c r="I772" s="3" t="str">
        <f t="shared" si="57"/>
        <v>27 / 13-11-2013</v>
      </c>
      <c r="J772" s="4">
        <v>41591</v>
      </c>
      <c r="K772" s="6">
        <v>0.79166666666666663</v>
      </c>
      <c r="L772" s="3">
        <v>5</v>
      </c>
      <c r="M772" s="3" t="s">
        <v>126</v>
      </c>
      <c r="N772" s="3" t="s">
        <v>126</v>
      </c>
      <c r="O772" s="5"/>
      <c r="P772" s="3" t="s">
        <v>22</v>
      </c>
      <c r="Q772" s="7"/>
      <c r="R772" s="7"/>
    </row>
    <row r="773" spans="1:18" ht="38.25" x14ac:dyDescent="0.25">
      <c r="A773" s="3" t="s">
        <v>18</v>
      </c>
      <c r="B773" s="3">
        <v>2013</v>
      </c>
      <c r="C773" s="3" t="s">
        <v>19</v>
      </c>
      <c r="D773" s="3" t="str">
        <f>"783 / 2013"</f>
        <v>783 / 2013</v>
      </c>
      <c r="E773" s="4">
        <v>41592</v>
      </c>
      <c r="F773" s="3" t="s">
        <v>1740</v>
      </c>
      <c r="G773" s="5"/>
      <c r="H773" s="3" t="s">
        <v>1741</v>
      </c>
      <c r="I773" s="3" t="str">
        <f t="shared" si="57"/>
        <v>27 / 13-11-2013</v>
      </c>
      <c r="J773" s="4">
        <v>41591</v>
      </c>
      <c r="K773" s="6">
        <v>0.79166666666666663</v>
      </c>
      <c r="L773" s="3">
        <v>6</v>
      </c>
      <c r="M773" s="3" t="s">
        <v>1221</v>
      </c>
      <c r="N773" s="3" t="s">
        <v>1221</v>
      </c>
      <c r="O773" s="5"/>
      <c r="P773" s="3" t="s">
        <v>22</v>
      </c>
      <c r="Q773" s="7"/>
      <c r="R773" s="7"/>
    </row>
    <row r="774" spans="1:18" ht="63.75" x14ac:dyDescent="0.25">
      <c r="A774" s="3" t="s">
        <v>18</v>
      </c>
      <c r="B774" s="3">
        <v>2013</v>
      </c>
      <c r="C774" s="3" t="s">
        <v>19</v>
      </c>
      <c r="D774" s="3" t="str">
        <f>"784 / 2013"</f>
        <v>784 / 2013</v>
      </c>
      <c r="E774" s="4">
        <v>41597</v>
      </c>
      <c r="F774" s="3" t="s">
        <v>1742</v>
      </c>
      <c r="G774" s="5"/>
      <c r="H774" s="3" t="s">
        <v>1743</v>
      </c>
      <c r="I774" s="3" t="str">
        <f t="shared" si="57"/>
        <v>27 / 13-11-2013</v>
      </c>
      <c r="J774" s="4">
        <v>41591</v>
      </c>
      <c r="K774" s="6">
        <v>0.79166666666666663</v>
      </c>
      <c r="L774" s="3">
        <v>7</v>
      </c>
      <c r="M774" s="3" t="s">
        <v>56</v>
      </c>
      <c r="N774" s="3" t="s">
        <v>56</v>
      </c>
      <c r="O774" s="5"/>
      <c r="P774" s="3" t="s">
        <v>22</v>
      </c>
      <c r="Q774" s="7"/>
      <c r="R774" s="7"/>
    </row>
    <row r="775" spans="1:18" ht="89.25" x14ac:dyDescent="0.25">
      <c r="A775" s="3" t="s">
        <v>18</v>
      </c>
      <c r="B775" s="3">
        <v>2013</v>
      </c>
      <c r="C775" s="3" t="s">
        <v>19</v>
      </c>
      <c r="D775" s="3" t="str">
        <f>"785 / 2013"</f>
        <v>785 / 2013</v>
      </c>
      <c r="E775" s="4">
        <v>41581</v>
      </c>
      <c r="F775" s="3" t="s">
        <v>1744</v>
      </c>
      <c r="G775" s="5"/>
      <c r="H775" s="3" t="s">
        <v>1745</v>
      </c>
      <c r="I775" s="3" t="str">
        <f t="shared" si="57"/>
        <v>27 / 13-11-2013</v>
      </c>
      <c r="J775" s="4">
        <v>41591</v>
      </c>
      <c r="K775" s="6">
        <v>0.79166666666666663</v>
      </c>
      <c r="L775" s="3">
        <v>8</v>
      </c>
      <c r="M775" s="3" t="s">
        <v>330</v>
      </c>
      <c r="N775" s="3" t="s">
        <v>330</v>
      </c>
      <c r="O775" s="5"/>
      <c r="P775" s="3" t="s">
        <v>22</v>
      </c>
      <c r="Q775" s="7"/>
      <c r="R775" s="7"/>
    </row>
    <row r="776" spans="1:18" ht="63.75" x14ac:dyDescent="0.25">
      <c r="A776" s="3" t="s">
        <v>18</v>
      </c>
      <c r="B776" s="3">
        <v>2013</v>
      </c>
      <c r="C776" s="3" t="s">
        <v>19</v>
      </c>
      <c r="D776" s="3" t="str">
        <f>"786 / 2013"</f>
        <v>786 / 2013</v>
      </c>
      <c r="E776" s="4">
        <v>41599</v>
      </c>
      <c r="F776" s="3" t="s">
        <v>1746</v>
      </c>
      <c r="G776" s="5"/>
      <c r="H776" s="3" t="s">
        <v>1747</v>
      </c>
      <c r="I776" s="3" t="str">
        <f t="shared" si="57"/>
        <v>27 / 13-11-2013</v>
      </c>
      <c r="J776" s="4">
        <v>41591</v>
      </c>
      <c r="K776" s="6">
        <v>0.79166666666666663</v>
      </c>
      <c r="L776" s="3">
        <v>9</v>
      </c>
      <c r="M776" s="3" t="s">
        <v>56</v>
      </c>
      <c r="N776" s="3" t="s">
        <v>56</v>
      </c>
      <c r="O776" s="5"/>
      <c r="P776" s="3" t="s">
        <v>22</v>
      </c>
      <c r="Q776" s="7"/>
      <c r="R776" s="7"/>
    </row>
    <row r="777" spans="1:18" ht="63.75" x14ac:dyDescent="0.25">
      <c r="A777" s="3" t="s">
        <v>18</v>
      </c>
      <c r="B777" s="3">
        <v>2013</v>
      </c>
      <c r="C777" s="3" t="s">
        <v>19</v>
      </c>
      <c r="D777" s="3" t="str">
        <f>"787 / 2013"</f>
        <v>787 / 2013</v>
      </c>
      <c r="E777" s="4">
        <v>41599</v>
      </c>
      <c r="F777" s="3" t="s">
        <v>1748</v>
      </c>
      <c r="G777" s="5"/>
      <c r="H777" s="3" t="s">
        <v>1749</v>
      </c>
      <c r="I777" s="3" t="str">
        <f t="shared" si="57"/>
        <v>27 / 13-11-2013</v>
      </c>
      <c r="J777" s="4">
        <v>41591</v>
      </c>
      <c r="K777" s="6">
        <v>0.79166666666666663</v>
      </c>
      <c r="L777" s="3">
        <v>9</v>
      </c>
      <c r="M777" s="3" t="s">
        <v>56</v>
      </c>
      <c r="N777" s="3" t="s">
        <v>56</v>
      </c>
      <c r="O777" s="5"/>
      <c r="P777" s="3" t="s">
        <v>22</v>
      </c>
      <c r="Q777" s="7"/>
      <c r="R777" s="7"/>
    </row>
    <row r="778" spans="1:18" ht="89.25" x14ac:dyDescent="0.25">
      <c r="A778" s="3" t="s">
        <v>18</v>
      </c>
      <c r="B778" s="3">
        <v>2013</v>
      </c>
      <c r="C778" s="3" t="s">
        <v>19</v>
      </c>
      <c r="D778" s="3" t="str">
        <f>"788 / 2013"</f>
        <v>788 / 2013</v>
      </c>
      <c r="E778" s="4">
        <v>41593</v>
      </c>
      <c r="F778" s="3" t="s">
        <v>1750</v>
      </c>
      <c r="G778" s="5"/>
      <c r="H778" s="3" t="s">
        <v>1751</v>
      </c>
      <c r="I778" s="3" t="str">
        <f t="shared" si="57"/>
        <v>27 / 13-11-2013</v>
      </c>
      <c r="J778" s="4">
        <v>41591</v>
      </c>
      <c r="K778" s="6">
        <v>0.79166666666666663</v>
      </c>
      <c r="L778" s="3">
        <v>10</v>
      </c>
      <c r="M778" s="3" t="s">
        <v>352</v>
      </c>
      <c r="N778" s="3" t="s">
        <v>352</v>
      </c>
      <c r="O778" s="5"/>
      <c r="P778" s="3" t="s">
        <v>22</v>
      </c>
      <c r="Q778" s="7"/>
      <c r="R778" s="7"/>
    </row>
    <row r="779" spans="1:18" ht="38.25" x14ac:dyDescent="0.25">
      <c r="A779" s="3" t="s">
        <v>18</v>
      </c>
      <c r="B779" s="3">
        <v>2013</v>
      </c>
      <c r="C779" s="3" t="s">
        <v>19</v>
      </c>
      <c r="D779" s="3" t="str">
        <f>"789 / 2013"</f>
        <v>789 / 2013</v>
      </c>
      <c r="E779" s="4">
        <v>41591</v>
      </c>
      <c r="F779" s="3" t="s">
        <v>1752</v>
      </c>
      <c r="G779" s="5"/>
      <c r="H779" s="3" t="s">
        <v>1753</v>
      </c>
      <c r="I779" s="3" t="str">
        <f t="shared" si="57"/>
        <v>27 / 13-11-2013</v>
      </c>
      <c r="J779" s="4">
        <v>41591</v>
      </c>
      <c r="K779" s="6">
        <v>0.79166666666666663</v>
      </c>
      <c r="L779" s="3">
        <v>11</v>
      </c>
      <c r="M779" s="3" t="s">
        <v>355</v>
      </c>
      <c r="N779" s="3" t="s">
        <v>355</v>
      </c>
      <c r="O779" s="5"/>
      <c r="P779" s="3" t="s">
        <v>22</v>
      </c>
      <c r="Q779" s="7"/>
      <c r="R779" s="7"/>
    </row>
    <row r="780" spans="1:18" ht="51" x14ac:dyDescent="0.25">
      <c r="A780" s="3" t="s">
        <v>18</v>
      </c>
      <c r="B780" s="3">
        <v>2013</v>
      </c>
      <c r="C780" s="3" t="s">
        <v>19</v>
      </c>
      <c r="D780" s="3" t="str">
        <f>"79/2013"</f>
        <v>79/2013</v>
      </c>
      <c r="E780" s="4">
        <v>41332</v>
      </c>
      <c r="F780" s="3" t="s">
        <v>1754</v>
      </c>
      <c r="G780" s="5"/>
      <c r="H780" s="3" t="s">
        <v>1755</v>
      </c>
      <c r="I780" s="3" t="str">
        <f>"5/20-02-2013"</f>
        <v>5/20-02-2013</v>
      </c>
      <c r="J780" s="4">
        <v>41325</v>
      </c>
      <c r="K780" s="6">
        <v>0.79166666666666663</v>
      </c>
      <c r="L780" s="3">
        <v>26</v>
      </c>
      <c r="M780" s="3" t="s">
        <v>53</v>
      </c>
      <c r="N780" s="3" t="s">
        <v>53</v>
      </c>
      <c r="O780" s="5"/>
      <c r="P780" s="3" t="s">
        <v>22</v>
      </c>
      <c r="Q780" s="7"/>
      <c r="R780" s="7"/>
    </row>
    <row r="781" spans="1:18" ht="51" x14ac:dyDescent="0.25">
      <c r="A781" s="3" t="s">
        <v>18</v>
      </c>
      <c r="B781" s="3">
        <v>2013</v>
      </c>
      <c r="C781" s="3" t="s">
        <v>19</v>
      </c>
      <c r="D781" s="3" t="str">
        <f>"790 / 2013"</f>
        <v>790 / 2013</v>
      </c>
      <c r="E781" s="4">
        <v>41596</v>
      </c>
      <c r="F781" s="3" t="s">
        <v>1756</v>
      </c>
      <c r="G781" s="5"/>
      <c r="H781" s="3" t="s">
        <v>1757</v>
      </c>
      <c r="I781" s="3" t="str">
        <f t="shared" ref="I781:I789" si="58">"27 / 13-11-2013"</f>
        <v>27 / 13-11-2013</v>
      </c>
      <c r="J781" s="4">
        <v>41591</v>
      </c>
      <c r="K781" s="6">
        <v>0.79166666666666663</v>
      </c>
      <c r="L781" s="3">
        <v>12</v>
      </c>
      <c r="M781" s="3" t="s">
        <v>132</v>
      </c>
      <c r="N781" s="3" t="s">
        <v>132</v>
      </c>
      <c r="O781" s="5"/>
      <c r="P781" s="3" t="s">
        <v>22</v>
      </c>
      <c r="Q781" s="7"/>
      <c r="R781" s="7"/>
    </row>
    <row r="782" spans="1:18" ht="63.75" x14ac:dyDescent="0.25">
      <c r="A782" s="3" t="s">
        <v>18</v>
      </c>
      <c r="B782" s="3">
        <v>2013</v>
      </c>
      <c r="C782" s="3" t="s">
        <v>19</v>
      </c>
      <c r="D782" s="3" t="str">
        <f>"791 / 2013"</f>
        <v>791 / 2013</v>
      </c>
      <c r="E782" s="4">
        <v>41592</v>
      </c>
      <c r="F782" s="3" t="s">
        <v>1758</v>
      </c>
      <c r="G782" s="5"/>
      <c r="H782" s="3" t="s">
        <v>1759</v>
      </c>
      <c r="I782" s="3" t="str">
        <f t="shared" si="58"/>
        <v>27 / 13-11-2013</v>
      </c>
      <c r="J782" s="4">
        <v>41591</v>
      </c>
      <c r="K782" s="6">
        <v>0.79166666666666663</v>
      </c>
      <c r="L782" s="3">
        <v>13</v>
      </c>
      <c r="M782" s="3" t="s">
        <v>32</v>
      </c>
      <c r="N782" s="3" t="s">
        <v>32</v>
      </c>
      <c r="O782" s="5"/>
      <c r="P782" s="3" t="s">
        <v>22</v>
      </c>
      <c r="Q782" s="7"/>
      <c r="R782" s="7"/>
    </row>
    <row r="783" spans="1:18" ht="51" x14ac:dyDescent="0.25">
      <c r="A783" s="3" t="s">
        <v>18</v>
      </c>
      <c r="B783" s="3">
        <v>2013</v>
      </c>
      <c r="C783" s="3" t="s">
        <v>19</v>
      </c>
      <c r="D783" s="3" t="str">
        <f>"792 / 2013"</f>
        <v>792 / 2013</v>
      </c>
      <c r="E783" s="4">
        <v>41592</v>
      </c>
      <c r="F783" s="3" t="s">
        <v>1760</v>
      </c>
      <c r="G783" s="5"/>
      <c r="H783" s="3" t="s">
        <v>1761</v>
      </c>
      <c r="I783" s="3" t="str">
        <f t="shared" si="58"/>
        <v>27 / 13-11-2013</v>
      </c>
      <c r="J783" s="4">
        <v>41591</v>
      </c>
      <c r="K783" s="6">
        <v>0.79166666666666663</v>
      </c>
      <c r="L783" s="3">
        <v>13</v>
      </c>
      <c r="M783" s="3" t="s">
        <v>32</v>
      </c>
      <c r="N783" s="3" t="s">
        <v>32</v>
      </c>
      <c r="O783" s="5"/>
      <c r="P783" s="3" t="s">
        <v>22</v>
      </c>
      <c r="Q783" s="7"/>
      <c r="R783" s="7"/>
    </row>
    <row r="784" spans="1:18" ht="63.75" x14ac:dyDescent="0.25">
      <c r="A784" s="3" t="s">
        <v>18</v>
      </c>
      <c r="B784" s="3">
        <v>2013</v>
      </c>
      <c r="C784" s="3" t="s">
        <v>19</v>
      </c>
      <c r="D784" s="3" t="str">
        <f>"793 / 2013"</f>
        <v>793 / 2013</v>
      </c>
      <c r="E784" s="4">
        <v>41592</v>
      </c>
      <c r="F784" s="3" t="s">
        <v>1762</v>
      </c>
      <c r="G784" s="5"/>
      <c r="H784" s="3" t="s">
        <v>1763</v>
      </c>
      <c r="I784" s="3" t="str">
        <f t="shared" si="58"/>
        <v>27 / 13-11-2013</v>
      </c>
      <c r="J784" s="4">
        <v>41591</v>
      </c>
      <c r="K784" s="6">
        <v>0.79166666666666663</v>
      </c>
      <c r="L784" s="3">
        <v>14</v>
      </c>
      <c r="M784" s="3" t="s">
        <v>132</v>
      </c>
      <c r="N784" s="3" t="s">
        <v>132</v>
      </c>
      <c r="O784" s="5"/>
      <c r="P784" s="3" t="s">
        <v>22</v>
      </c>
      <c r="Q784" s="7"/>
      <c r="R784" s="7"/>
    </row>
    <row r="785" spans="1:18" ht="63.75" x14ac:dyDescent="0.25">
      <c r="A785" s="3" t="s">
        <v>18</v>
      </c>
      <c r="B785" s="3">
        <v>2013</v>
      </c>
      <c r="C785" s="3" t="s">
        <v>19</v>
      </c>
      <c r="D785" s="3" t="str">
        <f>"794 / 2013"</f>
        <v>794 / 2013</v>
      </c>
      <c r="E785" s="4">
        <v>41592</v>
      </c>
      <c r="F785" s="3" t="s">
        <v>1764</v>
      </c>
      <c r="G785" s="5"/>
      <c r="H785" s="3" t="s">
        <v>1765</v>
      </c>
      <c r="I785" s="3" t="str">
        <f t="shared" si="58"/>
        <v>27 / 13-11-2013</v>
      </c>
      <c r="J785" s="4">
        <v>41591</v>
      </c>
      <c r="K785" s="6">
        <v>0.79166666666666663</v>
      </c>
      <c r="L785" s="3">
        <v>14</v>
      </c>
      <c r="M785" s="3" t="s">
        <v>132</v>
      </c>
      <c r="N785" s="3" t="s">
        <v>132</v>
      </c>
      <c r="O785" s="5"/>
      <c r="P785" s="3" t="s">
        <v>22</v>
      </c>
      <c r="Q785" s="7"/>
      <c r="R785" s="7"/>
    </row>
    <row r="786" spans="1:18" ht="63.75" x14ac:dyDescent="0.25">
      <c r="A786" s="3" t="s">
        <v>18</v>
      </c>
      <c r="B786" s="3">
        <v>2013</v>
      </c>
      <c r="C786" s="3" t="s">
        <v>19</v>
      </c>
      <c r="D786" s="3" t="str">
        <f>"795 / 2013"</f>
        <v>795 / 2013</v>
      </c>
      <c r="E786" s="4">
        <v>41592</v>
      </c>
      <c r="F786" s="3" t="s">
        <v>1766</v>
      </c>
      <c r="G786" s="5"/>
      <c r="H786" s="3" t="s">
        <v>1767</v>
      </c>
      <c r="I786" s="3" t="str">
        <f t="shared" si="58"/>
        <v>27 / 13-11-2013</v>
      </c>
      <c r="J786" s="4">
        <v>41591</v>
      </c>
      <c r="K786" s="6">
        <v>0.79166666666666663</v>
      </c>
      <c r="L786" s="3">
        <v>14</v>
      </c>
      <c r="M786" s="3" t="s">
        <v>132</v>
      </c>
      <c r="N786" s="3" t="s">
        <v>132</v>
      </c>
      <c r="O786" s="5"/>
      <c r="P786" s="3" t="s">
        <v>22</v>
      </c>
      <c r="Q786" s="7"/>
      <c r="R786" s="7"/>
    </row>
    <row r="787" spans="1:18" ht="51" x14ac:dyDescent="0.25">
      <c r="A787" s="3" t="s">
        <v>18</v>
      </c>
      <c r="B787" s="3">
        <v>2013</v>
      </c>
      <c r="C787" s="3" t="s">
        <v>19</v>
      </c>
      <c r="D787" s="3" t="str">
        <f>"796 / 2013"</f>
        <v>796 / 2013</v>
      </c>
      <c r="E787" s="4">
        <v>41593</v>
      </c>
      <c r="F787" s="3" t="s">
        <v>1768</v>
      </c>
      <c r="G787" s="5"/>
      <c r="H787" s="3" t="s">
        <v>1769</v>
      </c>
      <c r="I787" s="3" t="str">
        <f t="shared" si="58"/>
        <v>27 / 13-11-2013</v>
      </c>
      <c r="J787" s="4">
        <v>41591</v>
      </c>
      <c r="K787" s="6">
        <v>0.79166666666666663</v>
      </c>
      <c r="L787" s="3">
        <v>14</v>
      </c>
      <c r="M787" s="3" t="s">
        <v>132</v>
      </c>
      <c r="N787" s="3" t="s">
        <v>132</v>
      </c>
      <c r="O787" s="5"/>
      <c r="P787" s="3" t="s">
        <v>22</v>
      </c>
      <c r="Q787" s="7"/>
      <c r="R787" s="7"/>
    </row>
    <row r="788" spans="1:18" ht="63.75" x14ac:dyDescent="0.25">
      <c r="A788" s="3" t="s">
        <v>18</v>
      </c>
      <c r="B788" s="3">
        <v>2013</v>
      </c>
      <c r="C788" s="3" t="s">
        <v>19</v>
      </c>
      <c r="D788" s="3" t="str">
        <f>"797 / 2013"</f>
        <v>797 / 2013</v>
      </c>
      <c r="E788" s="4">
        <v>41591</v>
      </c>
      <c r="F788" s="3" t="s">
        <v>1770</v>
      </c>
      <c r="G788" s="5"/>
      <c r="H788" s="3" t="s">
        <v>1771</v>
      </c>
      <c r="I788" s="3" t="str">
        <f t="shared" si="58"/>
        <v>27 / 13-11-2013</v>
      </c>
      <c r="J788" s="4">
        <v>41591</v>
      </c>
      <c r="K788" s="6">
        <v>0.79166666666666663</v>
      </c>
      <c r="L788" s="3">
        <v>15</v>
      </c>
      <c r="M788" s="5"/>
      <c r="N788" s="5"/>
      <c r="O788" s="5"/>
      <c r="P788" s="3" t="s">
        <v>22</v>
      </c>
      <c r="Q788" s="7"/>
      <c r="R788" s="7"/>
    </row>
    <row r="789" spans="1:18" ht="229.5" x14ac:dyDescent="0.25">
      <c r="A789" s="3" t="s">
        <v>18</v>
      </c>
      <c r="B789" s="3">
        <v>2013</v>
      </c>
      <c r="C789" s="3" t="s">
        <v>19</v>
      </c>
      <c r="D789" s="3" t="str">
        <f>"798 / 2013"</f>
        <v>798 / 2013</v>
      </c>
      <c r="E789" s="4">
        <v>41592</v>
      </c>
      <c r="F789" s="3" t="s">
        <v>1772</v>
      </c>
      <c r="G789" s="5"/>
      <c r="H789" s="3" t="s">
        <v>1773</v>
      </c>
      <c r="I789" s="3" t="str">
        <f t="shared" si="58"/>
        <v>27 / 13-11-2013</v>
      </c>
      <c r="J789" s="4">
        <v>41591</v>
      </c>
      <c r="K789" s="6">
        <v>0.79166666666666663</v>
      </c>
      <c r="L789" s="5"/>
      <c r="M789" s="3" t="s">
        <v>333</v>
      </c>
      <c r="N789" s="3" t="s">
        <v>333</v>
      </c>
      <c r="O789" s="5"/>
      <c r="P789" s="3" t="s">
        <v>74</v>
      </c>
      <c r="Q789" s="7"/>
      <c r="R789" s="7"/>
    </row>
    <row r="790" spans="1:18" ht="63.75" x14ac:dyDescent="0.25">
      <c r="A790" s="3" t="s">
        <v>18</v>
      </c>
      <c r="B790" s="3">
        <v>2013</v>
      </c>
      <c r="C790" s="3" t="s">
        <v>19</v>
      </c>
      <c r="D790" s="3" t="str">
        <f>"799 / 2013"</f>
        <v>799 / 2013</v>
      </c>
      <c r="E790" s="4">
        <v>41593</v>
      </c>
      <c r="F790" s="3" t="s">
        <v>1774</v>
      </c>
      <c r="G790" s="5"/>
      <c r="H790" s="3" t="s">
        <v>1775</v>
      </c>
      <c r="I790" s="3" t="str">
        <f>"28 / 15-11-2013"</f>
        <v>28 / 15-11-2013</v>
      </c>
      <c r="J790" s="4">
        <v>41593</v>
      </c>
      <c r="K790" s="6">
        <v>0.58333333333333337</v>
      </c>
      <c r="L790" s="5"/>
      <c r="M790" s="5"/>
      <c r="N790" s="5"/>
      <c r="O790" s="5"/>
      <c r="P790" s="3" t="s">
        <v>74</v>
      </c>
      <c r="Q790" s="7"/>
      <c r="R790" s="7"/>
    </row>
    <row r="791" spans="1:18" ht="63.75" x14ac:dyDescent="0.25">
      <c r="A791" s="3" t="s">
        <v>18</v>
      </c>
      <c r="B791" s="3">
        <v>2013</v>
      </c>
      <c r="C791" s="3" t="s">
        <v>19</v>
      </c>
      <c r="D791" s="3" t="str">
        <f>"80/2013"</f>
        <v>80/2013</v>
      </c>
      <c r="E791" s="4">
        <v>41332</v>
      </c>
      <c r="F791" s="3" t="s">
        <v>1776</v>
      </c>
      <c r="G791" s="5"/>
      <c r="H791" s="3" t="s">
        <v>1777</v>
      </c>
      <c r="I791" s="3" t="str">
        <f>"5/20-02-2013"</f>
        <v>5/20-02-2013</v>
      </c>
      <c r="J791" s="4">
        <v>41325</v>
      </c>
      <c r="K791" s="6">
        <v>0.79166666666666663</v>
      </c>
      <c r="L791" s="3">
        <v>26</v>
      </c>
      <c r="M791" s="3" t="s">
        <v>53</v>
      </c>
      <c r="N791" s="3" t="s">
        <v>53</v>
      </c>
      <c r="O791" s="5"/>
      <c r="P791" s="3" t="s">
        <v>22</v>
      </c>
      <c r="Q791" s="7"/>
      <c r="R791" s="7"/>
    </row>
    <row r="792" spans="1:18" ht="25.5" x14ac:dyDescent="0.25">
      <c r="A792" s="3" t="s">
        <v>18</v>
      </c>
      <c r="B792" s="3">
        <v>2013</v>
      </c>
      <c r="C792" s="3" t="s">
        <v>19</v>
      </c>
      <c r="D792" s="3" t="str">
        <f>"800 / 2013"</f>
        <v>800 / 2013</v>
      </c>
      <c r="E792" s="4">
        <v>41596</v>
      </c>
      <c r="F792" s="3" t="s">
        <v>1778</v>
      </c>
      <c r="G792" s="5"/>
      <c r="H792" s="3" t="s">
        <v>1779</v>
      </c>
      <c r="I792" s="3" t="str">
        <f>"28 / 15-11-2013"</f>
        <v>28 / 15-11-2013</v>
      </c>
      <c r="J792" s="4">
        <v>41593</v>
      </c>
      <c r="K792" s="6">
        <v>0.58333333333333337</v>
      </c>
      <c r="L792" s="3">
        <v>1</v>
      </c>
      <c r="M792" s="3" t="s">
        <v>56</v>
      </c>
      <c r="N792" s="3" t="s">
        <v>56</v>
      </c>
      <c r="O792" s="5"/>
      <c r="P792" s="3" t="s">
        <v>22</v>
      </c>
      <c r="Q792" s="7"/>
      <c r="R792" s="7"/>
    </row>
    <row r="793" spans="1:18" ht="63.75" x14ac:dyDescent="0.25">
      <c r="A793" s="3" t="s">
        <v>18</v>
      </c>
      <c r="B793" s="3">
        <v>2013</v>
      </c>
      <c r="C793" s="3" t="s">
        <v>19</v>
      </c>
      <c r="D793" s="3" t="str">
        <f>"801 / 2013"</f>
        <v>801 / 2013</v>
      </c>
      <c r="E793" s="4">
        <v>41603</v>
      </c>
      <c r="F793" s="3" t="s">
        <v>1780</v>
      </c>
      <c r="G793" s="5"/>
      <c r="H793" s="3" t="s">
        <v>1781</v>
      </c>
      <c r="I793" s="3" t="str">
        <f>"29 / 15-11-2013"</f>
        <v>29 / 15-11-2013</v>
      </c>
      <c r="J793" s="4">
        <v>41593</v>
      </c>
      <c r="K793" s="6">
        <v>0.66666666666666663</v>
      </c>
      <c r="L793" s="3">
        <v>1</v>
      </c>
      <c r="M793" s="5"/>
      <c r="N793" s="5"/>
      <c r="O793" s="5"/>
      <c r="P793" s="3" t="s">
        <v>22</v>
      </c>
      <c r="Q793" s="7"/>
      <c r="R793" s="7"/>
    </row>
    <row r="794" spans="1:18" ht="63.75" x14ac:dyDescent="0.25">
      <c r="A794" s="3" t="s">
        <v>18</v>
      </c>
      <c r="B794" s="3">
        <v>2013</v>
      </c>
      <c r="C794" s="3" t="s">
        <v>19</v>
      </c>
      <c r="D794" s="3" t="str">
        <f>"802 / 2013"</f>
        <v>802 / 2013</v>
      </c>
      <c r="E794" s="4">
        <v>41606</v>
      </c>
      <c r="F794" s="3" t="s">
        <v>1782</v>
      </c>
      <c r="G794" s="5"/>
      <c r="H794" s="3" t="s">
        <v>1783</v>
      </c>
      <c r="I794" s="3" t="str">
        <f t="shared" ref="I794:I801" si="59">"30 / 27-11-2013"</f>
        <v>30 / 27-11-2013</v>
      </c>
      <c r="J794" s="4">
        <v>41605</v>
      </c>
      <c r="K794" s="6">
        <v>0.79166666666666663</v>
      </c>
      <c r="L794" s="3">
        <v>1</v>
      </c>
      <c r="M794" s="3" t="s">
        <v>442</v>
      </c>
      <c r="N794" s="3" t="s">
        <v>442</v>
      </c>
      <c r="O794" s="5"/>
      <c r="P794" s="3" t="s">
        <v>22</v>
      </c>
      <c r="Q794" s="7"/>
      <c r="R794" s="7"/>
    </row>
    <row r="795" spans="1:18" ht="63.75" x14ac:dyDescent="0.25">
      <c r="A795" s="3" t="s">
        <v>18</v>
      </c>
      <c r="B795" s="3">
        <v>2013</v>
      </c>
      <c r="C795" s="3" t="s">
        <v>19</v>
      </c>
      <c r="D795" s="3" t="str">
        <f>"803 / 2013"</f>
        <v>803 / 2013</v>
      </c>
      <c r="E795" s="4">
        <v>41606</v>
      </c>
      <c r="F795" s="3" t="s">
        <v>1784</v>
      </c>
      <c r="G795" s="5"/>
      <c r="H795" s="3" t="s">
        <v>1785</v>
      </c>
      <c r="I795" s="3" t="str">
        <f t="shared" si="59"/>
        <v>30 / 27-11-2013</v>
      </c>
      <c r="J795" s="4">
        <v>41605</v>
      </c>
      <c r="K795" s="6">
        <v>0.79166666666666663</v>
      </c>
      <c r="L795" s="3">
        <v>1</v>
      </c>
      <c r="M795" s="3" t="s">
        <v>442</v>
      </c>
      <c r="N795" s="3" t="s">
        <v>442</v>
      </c>
      <c r="O795" s="5"/>
      <c r="P795" s="3" t="s">
        <v>22</v>
      </c>
      <c r="Q795" s="7"/>
      <c r="R795" s="7"/>
    </row>
    <row r="796" spans="1:18" ht="102" x14ac:dyDescent="0.25">
      <c r="A796" s="3" t="s">
        <v>18</v>
      </c>
      <c r="B796" s="3">
        <v>2013</v>
      </c>
      <c r="C796" s="3" t="s">
        <v>19</v>
      </c>
      <c r="D796" s="3" t="str">
        <f>"804 / 2013"</f>
        <v>804 / 2013</v>
      </c>
      <c r="E796" s="4">
        <v>41606</v>
      </c>
      <c r="F796" s="3" t="s">
        <v>1786</v>
      </c>
      <c r="G796" s="5"/>
      <c r="H796" s="3" t="s">
        <v>1787</v>
      </c>
      <c r="I796" s="3" t="str">
        <f t="shared" si="59"/>
        <v>30 / 27-11-2013</v>
      </c>
      <c r="J796" s="4">
        <v>41605</v>
      </c>
      <c r="K796" s="6">
        <v>0.79166666666666663</v>
      </c>
      <c r="L796" s="3">
        <v>1</v>
      </c>
      <c r="M796" s="3" t="s">
        <v>50</v>
      </c>
      <c r="N796" s="3" t="s">
        <v>50</v>
      </c>
      <c r="O796" s="5"/>
      <c r="P796" s="3" t="s">
        <v>22</v>
      </c>
      <c r="Q796" s="7"/>
      <c r="R796" s="7"/>
    </row>
    <row r="797" spans="1:18" ht="63.75" x14ac:dyDescent="0.25">
      <c r="A797" s="3" t="s">
        <v>18</v>
      </c>
      <c r="B797" s="3">
        <v>2013</v>
      </c>
      <c r="C797" s="3" t="s">
        <v>19</v>
      </c>
      <c r="D797" s="3" t="str">
        <f>"805 / 2013"</f>
        <v>805 / 2013</v>
      </c>
      <c r="E797" s="4">
        <v>41606</v>
      </c>
      <c r="F797" s="3" t="s">
        <v>1788</v>
      </c>
      <c r="G797" s="5"/>
      <c r="H797" s="3" t="s">
        <v>1789</v>
      </c>
      <c r="I797" s="3" t="str">
        <f t="shared" si="59"/>
        <v>30 / 27-11-2013</v>
      </c>
      <c r="J797" s="4">
        <v>41605</v>
      </c>
      <c r="K797" s="6">
        <v>0.79166666666666663</v>
      </c>
      <c r="L797" s="3">
        <v>2</v>
      </c>
      <c r="M797" s="3" t="s">
        <v>822</v>
      </c>
      <c r="N797" s="5"/>
      <c r="O797" s="5"/>
      <c r="P797" s="3" t="s">
        <v>22</v>
      </c>
      <c r="Q797" s="7"/>
      <c r="R797" s="7"/>
    </row>
    <row r="798" spans="1:18" ht="51" x14ac:dyDescent="0.25">
      <c r="A798" s="3" t="s">
        <v>18</v>
      </c>
      <c r="B798" s="3">
        <v>2013</v>
      </c>
      <c r="C798" s="3" t="s">
        <v>19</v>
      </c>
      <c r="D798" s="3" t="str">
        <f>"806 / 2013"</f>
        <v>806 / 2013</v>
      </c>
      <c r="E798" s="4">
        <v>41619</v>
      </c>
      <c r="F798" s="3" t="s">
        <v>1790</v>
      </c>
      <c r="G798" s="5"/>
      <c r="H798" s="3" t="s">
        <v>1791</v>
      </c>
      <c r="I798" s="3" t="str">
        <f t="shared" si="59"/>
        <v>30 / 27-11-2013</v>
      </c>
      <c r="J798" s="4">
        <v>41605</v>
      </c>
      <c r="K798" s="6">
        <v>0.79166666666666663</v>
      </c>
      <c r="L798" s="3">
        <v>3</v>
      </c>
      <c r="M798" s="3" t="s">
        <v>1792</v>
      </c>
      <c r="N798" s="5"/>
      <c r="O798" s="5"/>
      <c r="P798" s="3" t="s">
        <v>22</v>
      </c>
      <c r="Q798" s="7"/>
      <c r="R798" s="7"/>
    </row>
    <row r="799" spans="1:18" ht="102" x14ac:dyDescent="0.25">
      <c r="A799" s="3" t="s">
        <v>18</v>
      </c>
      <c r="B799" s="3">
        <v>2013</v>
      </c>
      <c r="C799" s="3" t="s">
        <v>19</v>
      </c>
      <c r="D799" s="3" t="str">
        <f>"807 / 2013"</f>
        <v>807 / 2013</v>
      </c>
      <c r="E799" s="4">
        <v>41617</v>
      </c>
      <c r="F799" s="3" t="s">
        <v>1793</v>
      </c>
      <c r="G799" s="5"/>
      <c r="H799" s="3" t="s">
        <v>1794</v>
      </c>
      <c r="I799" s="3" t="str">
        <f t="shared" si="59"/>
        <v>30 / 27-11-2013</v>
      </c>
      <c r="J799" s="4">
        <v>41605</v>
      </c>
      <c r="K799" s="6">
        <v>0.79166666666666663</v>
      </c>
      <c r="L799" s="3">
        <v>4</v>
      </c>
      <c r="M799" s="3" t="s">
        <v>728</v>
      </c>
      <c r="N799" s="5"/>
      <c r="O799" s="5"/>
      <c r="P799" s="3" t="s">
        <v>22</v>
      </c>
      <c r="Q799" s="7"/>
      <c r="R799" s="7"/>
    </row>
    <row r="800" spans="1:18" ht="51" x14ac:dyDescent="0.25">
      <c r="A800" s="3" t="s">
        <v>18</v>
      </c>
      <c r="B800" s="3">
        <v>2013</v>
      </c>
      <c r="C800" s="3" t="s">
        <v>19</v>
      </c>
      <c r="D800" s="3" t="str">
        <f>"808 / 2013"</f>
        <v>808 / 2013</v>
      </c>
      <c r="E800" s="4">
        <v>41618</v>
      </c>
      <c r="F800" s="3" t="s">
        <v>1795</v>
      </c>
      <c r="G800" s="5"/>
      <c r="H800" s="3" t="s">
        <v>1796</v>
      </c>
      <c r="I800" s="3" t="str">
        <f t="shared" si="59"/>
        <v>30 / 27-11-2013</v>
      </c>
      <c r="J800" s="4">
        <v>41605</v>
      </c>
      <c r="K800" s="6">
        <v>0.79166666666666663</v>
      </c>
      <c r="L800" s="3">
        <v>5</v>
      </c>
      <c r="M800" s="3" t="s">
        <v>1797</v>
      </c>
      <c r="N800" s="3" t="s">
        <v>661</v>
      </c>
      <c r="O800" s="5"/>
      <c r="P800" s="3" t="s">
        <v>22</v>
      </c>
      <c r="Q800" s="7"/>
      <c r="R800" s="7"/>
    </row>
    <row r="801" spans="1:18" ht="63.75" x14ac:dyDescent="0.25">
      <c r="A801" s="3" t="s">
        <v>18</v>
      </c>
      <c r="B801" s="3">
        <v>2013</v>
      </c>
      <c r="C801" s="3" t="s">
        <v>19</v>
      </c>
      <c r="D801" s="3" t="str">
        <f>"809 / 2013"</f>
        <v>809 / 2013</v>
      </c>
      <c r="E801" s="4">
        <v>41618</v>
      </c>
      <c r="F801" s="3" t="s">
        <v>1798</v>
      </c>
      <c r="G801" s="5"/>
      <c r="H801" s="3" t="s">
        <v>1799</v>
      </c>
      <c r="I801" s="3" t="str">
        <f t="shared" si="59"/>
        <v>30 / 27-11-2013</v>
      </c>
      <c r="J801" s="4">
        <v>41605</v>
      </c>
      <c r="K801" s="6">
        <v>0.79166666666666663</v>
      </c>
      <c r="L801" s="3">
        <v>5</v>
      </c>
      <c r="M801" s="3" t="s">
        <v>1797</v>
      </c>
      <c r="N801" s="3" t="s">
        <v>382</v>
      </c>
      <c r="O801" s="5"/>
      <c r="P801" s="3" t="s">
        <v>22</v>
      </c>
      <c r="Q801" s="7"/>
      <c r="R801" s="7"/>
    </row>
    <row r="802" spans="1:18" ht="89.25" x14ac:dyDescent="0.25">
      <c r="A802" s="3" t="s">
        <v>18</v>
      </c>
      <c r="B802" s="3">
        <v>2013</v>
      </c>
      <c r="C802" s="3" t="s">
        <v>19</v>
      </c>
      <c r="D802" s="3" t="str">
        <f>"81/2013"</f>
        <v>81/2013</v>
      </c>
      <c r="E802" s="4">
        <v>41327</v>
      </c>
      <c r="F802" s="3" t="s">
        <v>1800</v>
      </c>
      <c r="G802" s="5"/>
      <c r="H802" s="3" t="s">
        <v>1801</v>
      </c>
      <c r="I802" s="3" t="str">
        <f>"5/20-02-2013"</f>
        <v>5/20-02-2013</v>
      </c>
      <c r="J802" s="4">
        <v>41325</v>
      </c>
      <c r="K802" s="6">
        <v>0.79166666666666663</v>
      </c>
      <c r="L802" s="3">
        <v>27</v>
      </c>
      <c r="M802" s="3" t="s">
        <v>1802</v>
      </c>
      <c r="N802" s="3" t="s">
        <v>1802</v>
      </c>
      <c r="O802" s="5"/>
      <c r="P802" s="3" t="s">
        <v>22</v>
      </c>
      <c r="Q802" s="7"/>
      <c r="R802" s="7"/>
    </row>
    <row r="803" spans="1:18" ht="102" x14ac:dyDescent="0.25">
      <c r="A803" s="3" t="s">
        <v>18</v>
      </c>
      <c r="B803" s="3">
        <v>2013</v>
      </c>
      <c r="C803" s="3" t="s">
        <v>19</v>
      </c>
      <c r="D803" s="3" t="str">
        <f>"810 / 2013"</f>
        <v>810 / 2013</v>
      </c>
      <c r="E803" s="4">
        <v>41618</v>
      </c>
      <c r="F803" s="3" t="s">
        <v>1803</v>
      </c>
      <c r="G803" s="5"/>
      <c r="H803" s="3" t="s">
        <v>1804</v>
      </c>
      <c r="I803" s="3" t="str">
        <f t="shared" ref="I803:I812" si="60">"30 / 27-11-2013"</f>
        <v>30 / 27-11-2013</v>
      </c>
      <c r="J803" s="4">
        <v>41605</v>
      </c>
      <c r="K803" s="6">
        <v>0.79166666666666663</v>
      </c>
      <c r="L803" s="3">
        <v>5</v>
      </c>
      <c r="M803" s="3" t="s">
        <v>1797</v>
      </c>
      <c r="N803" s="3" t="s">
        <v>382</v>
      </c>
      <c r="O803" s="5"/>
      <c r="P803" s="3" t="s">
        <v>22</v>
      </c>
      <c r="Q803" s="7"/>
      <c r="R803" s="7"/>
    </row>
    <row r="804" spans="1:18" ht="89.25" x14ac:dyDescent="0.25">
      <c r="A804" s="3" t="s">
        <v>18</v>
      </c>
      <c r="B804" s="3">
        <v>2013</v>
      </c>
      <c r="C804" s="3" t="s">
        <v>19</v>
      </c>
      <c r="D804" s="3" t="str">
        <f>"811 / 2013"</f>
        <v>811 / 2013</v>
      </c>
      <c r="E804" s="4">
        <v>41606</v>
      </c>
      <c r="F804" s="3" t="s">
        <v>1805</v>
      </c>
      <c r="G804" s="5"/>
      <c r="H804" s="3" t="s">
        <v>1806</v>
      </c>
      <c r="I804" s="3" t="str">
        <f t="shared" si="60"/>
        <v>30 / 27-11-2013</v>
      </c>
      <c r="J804" s="4">
        <v>41605</v>
      </c>
      <c r="K804" s="6">
        <v>0.79166666666666663</v>
      </c>
      <c r="L804" s="3">
        <v>6</v>
      </c>
      <c r="M804" s="3" t="s">
        <v>324</v>
      </c>
      <c r="N804" s="3" t="s">
        <v>324</v>
      </c>
      <c r="O804" s="5"/>
      <c r="P804" s="3" t="s">
        <v>22</v>
      </c>
      <c r="Q804" s="7"/>
      <c r="R804" s="7"/>
    </row>
    <row r="805" spans="1:18" ht="76.5" x14ac:dyDescent="0.25">
      <c r="A805" s="3" t="s">
        <v>18</v>
      </c>
      <c r="B805" s="3">
        <v>2013</v>
      </c>
      <c r="C805" s="3" t="s">
        <v>19</v>
      </c>
      <c r="D805" s="3" t="str">
        <f>"812 / 2013"</f>
        <v>812 / 2013</v>
      </c>
      <c r="E805" s="4">
        <v>41606</v>
      </c>
      <c r="F805" s="3" t="s">
        <v>1807</v>
      </c>
      <c r="G805" s="5"/>
      <c r="H805" s="3" t="s">
        <v>1808</v>
      </c>
      <c r="I805" s="3" t="str">
        <f t="shared" si="60"/>
        <v>30 / 27-11-2013</v>
      </c>
      <c r="J805" s="4">
        <v>41605</v>
      </c>
      <c r="K805" s="6">
        <v>0.79166666666666663</v>
      </c>
      <c r="L805" s="3">
        <v>7</v>
      </c>
      <c r="M805" s="3" t="s">
        <v>333</v>
      </c>
      <c r="N805" s="3" t="s">
        <v>333</v>
      </c>
      <c r="O805" s="5"/>
      <c r="P805" s="3" t="s">
        <v>22</v>
      </c>
      <c r="Q805" s="7"/>
      <c r="R805" s="7"/>
    </row>
    <row r="806" spans="1:18" ht="127.5" x14ac:dyDescent="0.25">
      <c r="A806" s="3" t="s">
        <v>18</v>
      </c>
      <c r="B806" s="3">
        <v>2013</v>
      </c>
      <c r="C806" s="3" t="s">
        <v>19</v>
      </c>
      <c r="D806" s="3" t="str">
        <f>"813 / 2013"</f>
        <v>813 / 2013</v>
      </c>
      <c r="E806" s="4">
        <v>41613</v>
      </c>
      <c r="F806" s="3" t="s">
        <v>1809</v>
      </c>
      <c r="G806" s="5"/>
      <c r="H806" s="3" t="s">
        <v>1810</v>
      </c>
      <c r="I806" s="3" t="str">
        <f t="shared" si="60"/>
        <v>30 / 27-11-2013</v>
      </c>
      <c r="J806" s="4">
        <v>41605</v>
      </c>
      <c r="K806" s="6">
        <v>0.79166666666666663</v>
      </c>
      <c r="L806" s="3">
        <v>8</v>
      </c>
      <c r="M806" s="3" t="s">
        <v>1811</v>
      </c>
      <c r="N806" s="3" t="s">
        <v>1811</v>
      </c>
      <c r="O806" s="5"/>
      <c r="P806" s="3" t="s">
        <v>22</v>
      </c>
      <c r="Q806" s="7"/>
      <c r="R806" s="7"/>
    </row>
    <row r="807" spans="1:18" ht="51" x14ac:dyDescent="0.25">
      <c r="A807" s="3" t="s">
        <v>18</v>
      </c>
      <c r="B807" s="3">
        <v>2013</v>
      </c>
      <c r="C807" s="3" t="s">
        <v>19</v>
      </c>
      <c r="D807" s="3" t="str">
        <f>"814 / 2013"</f>
        <v>814 / 2013</v>
      </c>
      <c r="E807" s="4">
        <v>41613</v>
      </c>
      <c r="F807" s="3" t="s">
        <v>1812</v>
      </c>
      <c r="G807" s="5"/>
      <c r="H807" s="3" t="s">
        <v>1813</v>
      </c>
      <c r="I807" s="3" t="str">
        <f t="shared" si="60"/>
        <v>30 / 27-11-2013</v>
      </c>
      <c r="J807" s="4">
        <v>41605</v>
      </c>
      <c r="K807" s="6">
        <v>0.79166666666666663</v>
      </c>
      <c r="L807" s="3">
        <v>9</v>
      </c>
      <c r="M807" s="3" t="s">
        <v>1008</v>
      </c>
      <c r="N807" s="3" t="s">
        <v>1008</v>
      </c>
      <c r="O807" s="5"/>
      <c r="P807" s="3" t="s">
        <v>22</v>
      </c>
      <c r="Q807" s="7"/>
      <c r="R807" s="7"/>
    </row>
    <row r="808" spans="1:18" ht="51" x14ac:dyDescent="0.25">
      <c r="A808" s="3" t="s">
        <v>18</v>
      </c>
      <c r="B808" s="3">
        <v>2013</v>
      </c>
      <c r="C808" s="3" t="s">
        <v>19</v>
      </c>
      <c r="D808" s="3" t="str">
        <f>"815 / 2013"</f>
        <v>815 / 2013</v>
      </c>
      <c r="E808" s="4">
        <v>41612</v>
      </c>
      <c r="F808" s="3" t="s">
        <v>1814</v>
      </c>
      <c r="G808" s="5"/>
      <c r="H808" s="3" t="s">
        <v>1815</v>
      </c>
      <c r="I808" s="3" t="str">
        <f t="shared" si="60"/>
        <v>30 / 27-11-2013</v>
      </c>
      <c r="J808" s="4">
        <v>41605</v>
      </c>
      <c r="K808" s="6">
        <v>0.79166666666666663</v>
      </c>
      <c r="L808" s="3">
        <v>10</v>
      </c>
      <c r="M808" s="3" t="s">
        <v>50</v>
      </c>
      <c r="N808" s="3" t="s">
        <v>50</v>
      </c>
      <c r="O808" s="5"/>
      <c r="P808" s="3" t="s">
        <v>22</v>
      </c>
      <c r="Q808" s="7"/>
      <c r="R808" s="7"/>
    </row>
    <row r="809" spans="1:18" ht="63.75" x14ac:dyDescent="0.25">
      <c r="A809" s="3" t="s">
        <v>18</v>
      </c>
      <c r="B809" s="3">
        <v>2013</v>
      </c>
      <c r="C809" s="3" t="s">
        <v>19</v>
      </c>
      <c r="D809" s="3" t="str">
        <f>"816 / 2013"</f>
        <v>816 / 2013</v>
      </c>
      <c r="E809" s="4">
        <v>41611</v>
      </c>
      <c r="F809" s="3" t="s">
        <v>1816</v>
      </c>
      <c r="G809" s="5"/>
      <c r="H809" s="3" t="s">
        <v>1817</v>
      </c>
      <c r="I809" s="3" t="str">
        <f t="shared" si="60"/>
        <v>30 / 27-11-2013</v>
      </c>
      <c r="J809" s="4">
        <v>41605</v>
      </c>
      <c r="K809" s="6">
        <v>0.79166666666666663</v>
      </c>
      <c r="L809" s="3">
        <v>11</v>
      </c>
      <c r="M809" s="3" t="s">
        <v>1818</v>
      </c>
      <c r="N809" s="3" t="s">
        <v>1818</v>
      </c>
      <c r="O809" s="5"/>
      <c r="P809" s="3" t="s">
        <v>22</v>
      </c>
      <c r="Q809" s="7"/>
      <c r="R809" s="7"/>
    </row>
    <row r="810" spans="1:18" ht="89.25" x14ac:dyDescent="0.25">
      <c r="A810" s="3" t="s">
        <v>18</v>
      </c>
      <c r="B810" s="3">
        <v>2013</v>
      </c>
      <c r="C810" s="3" t="s">
        <v>19</v>
      </c>
      <c r="D810" s="3" t="str">
        <f>"817 / 2013"</f>
        <v>817 / 2013</v>
      </c>
      <c r="E810" s="4">
        <v>41612</v>
      </c>
      <c r="F810" s="3" t="s">
        <v>1819</v>
      </c>
      <c r="G810" s="5"/>
      <c r="H810" s="3" t="s">
        <v>1820</v>
      </c>
      <c r="I810" s="3" t="str">
        <f t="shared" si="60"/>
        <v>30 / 27-11-2013</v>
      </c>
      <c r="J810" s="4">
        <v>41605</v>
      </c>
      <c r="K810" s="6">
        <v>0.79166666666666663</v>
      </c>
      <c r="L810" s="3">
        <v>12</v>
      </c>
      <c r="M810" s="3" t="s">
        <v>1541</v>
      </c>
      <c r="N810" s="3" t="s">
        <v>1541</v>
      </c>
      <c r="O810" s="5"/>
      <c r="P810" s="3" t="s">
        <v>22</v>
      </c>
      <c r="Q810" s="7"/>
      <c r="R810" s="7"/>
    </row>
    <row r="811" spans="1:18" ht="114.75" x14ac:dyDescent="0.25">
      <c r="A811" s="3" t="s">
        <v>18</v>
      </c>
      <c r="B811" s="3">
        <v>2013</v>
      </c>
      <c r="C811" s="3" t="s">
        <v>19</v>
      </c>
      <c r="D811" s="3" t="str">
        <f>"818 / 2013"</f>
        <v>818 / 2013</v>
      </c>
      <c r="E811" s="4">
        <v>41638</v>
      </c>
      <c r="F811" s="3" t="s">
        <v>1821</v>
      </c>
      <c r="G811" s="5"/>
      <c r="H811" s="3" t="s">
        <v>1822</v>
      </c>
      <c r="I811" s="3" t="str">
        <f t="shared" si="60"/>
        <v>30 / 27-11-2013</v>
      </c>
      <c r="J811" s="4">
        <v>41605</v>
      </c>
      <c r="K811" s="6">
        <v>0.79166666666666663</v>
      </c>
      <c r="L811" s="3">
        <v>13</v>
      </c>
      <c r="M811" s="3" t="s">
        <v>56</v>
      </c>
      <c r="N811" s="3" t="s">
        <v>56</v>
      </c>
      <c r="O811" s="5"/>
      <c r="P811" s="3" t="s">
        <v>22</v>
      </c>
      <c r="Q811" s="7"/>
      <c r="R811" s="7"/>
    </row>
    <row r="812" spans="1:18" ht="76.5" x14ac:dyDescent="0.25">
      <c r="A812" s="3" t="s">
        <v>18</v>
      </c>
      <c r="B812" s="3">
        <v>2013</v>
      </c>
      <c r="C812" s="3" t="s">
        <v>19</v>
      </c>
      <c r="D812" s="3" t="str">
        <f>"819 / 2013"</f>
        <v>819 / 2013</v>
      </c>
      <c r="E812" s="4">
        <v>41606</v>
      </c>
      <c r="F812" s="3" t="s">
        <v>1823</v>
      </c>
      <c r="G812" s="5"/>
      <c r="H812" s="3" t="s">
        <v>1824</v>
      </c>
      <c r="I812" s="3" t="str">
        <f t="shared" si="60"/>
        <v>30 / 27-11-2013</v>
      </c>
      <c r="J812" s="4">
        <v>41605</v>
      </c>
      <c r="K812" s="6">
        <v>0.79166666666666663</v>
      </c>
      <c r="L812" s="3">
        <v>14</v>
      </c>
      <c r="M812" s="3" t="s">
        <v>126</v>
      </c>
      <c r="N812" s="3" t="s">
        <v>126</v>
      </c>
      <c r="O812" s="5"/>
      <c r="P812" s="3" t="s">
        <v>22</v>
      </c>
      <c r="Q812" s="7"/>
      <c r="R812" s="7"/>
    </row>
    <row r="813" spans="1:18" ht="38.25" x14ac:dyDescent="0.25">
      <c r="A813" s="3" t="s">
        <v>18</v>
      </c>
      <c r="B813" s="3">
        <v>2013</v>
      </c>
      <c r="C813" s="3" t="s">
        <v>19</v>
      </c>
      <c r="D813" s="3" t="str">
        <f>"82/2013"</f>
        <v>82/2013</v>
      </c>
      <c r="E813" s="4">
        <v>41327</v>
      </c>
      <c r="F813" s="3" t="s">
        <v>1825</v>
      </c>
      <c r="G813" s="5"/>
      <c r="H813" s="3" t="s">
        <v>1826</v>
      </c>
      <c r="I813" s="3" t="str">
        <f>"5/20-02-2013"</f>
        <v>5/20-02-2013</v>
      </c>
      <c r="J813" s="4">
        <v>41325</v>
      </c>
      <c r="K813" s="6">
        <v>0.79166666666666663</v>
      </c>
      <c r="L813" s="3">
        <v>28</v>
      </c>
      <c r="M813" s="3" t="s">
        <v>185</v>
      </c>
      <c r="N813" s="3" t="s">
        <v>185</v>
      </c>
      <c r="O813" s="5"/>
      <c r="P813" s="3" t="s">
        <v>22</v>
      </c>
      <c r="Q813" s="7"/>
      <c r="R813" s="7"/>
    </row>
    <row r="814" spans="1:18" ht="76.5" x14ac:dyDescent="0.25">
      <c r="A814" s="3" t="s">
        <v>18</v>
      </c>
      <c r="B814" s="3">
        <v>2013</v>
      </c>
      <c r="C814" s="3" t="s">
        <v>19</v>
      </c>
      <c r="D814" s="3" t="str">
        <f>"820 / 2013"</f>
        <v>820 / 2013</v>
      </c>
      <c r="E814" s="4">
        <v>41607</v>
      </c>
      <c r="F814" s="3" t="s">
        <v>1827</v>
      </c>
      <c r="G814" s="5"/>
      <c r="H814" s="3" t="s">
        <v>1828</v>
      </c>
      <c r="I814" s="3" t="str">
        <f t="shared" ref="I814:I822" si="61">"30 / 27-11-2013"</f>
        <v>30 / 27-11-2013</v>
      </c>
      <c r="J814" s="4">
        <v>41605</v>
      </c>
      <c r="K814" s="6">
        <v>0.79166666666666663</v>
      </c>
      <c r="L814" s="3">
        <v>14</v>
      </c>
      <c r="M814" s="3" t="s">
        <v>126</v>
      </c>
      <c r="N814" s="3" t="s">
        <v>126</v>
      </c>
      <c r="O814" s="5"/>
      <c r="P814" s="3" t="s">
        <v>22</v>
      </c>
      <c r="Q814" s="7"/>
      <c r="R814" s="7"/>
    </row>
    <row r="815" spans="1:18" ht="114.75" x14ac:dyDescent="0.25">
      <c r="A815" s="3" t="s">
        <v>18</v>
      </c>
      <c r="B815" s="3">
        <v>2013</v>
      </c>
      <c r="C815" s="3" t="s">
        <v>19</v>
      </c>
      <c r="D815" s="3" t="str">
        <f>"822 / 2013"</f>
        <v>822 / 2013</v>
      </c>
      <c r="E815" s="4">
        <v>41611</v>
      </c>
      <c r="F815" s="3" t="s">
        <v>1829</v>
      </c>
      <c r="G815" s="5"/>
      <c r="H815" s="3" t="s">
        <v>1830</v>
      </c>
      <c r="I815" s="3" t="str">
        <f t="shared" si="61"/>
        <v>30 / 27-11-2013</v>
      </c>
      <c r="J815" s="4">
        <v>41605</v>
      </c>
      <c r="K815" s="6">
        <v>0.79166666666666663</v>
      </c>
      <c r="L815" s="3">
        <v>14</v>
      </c>
      <c r="M815" s="3" t="s">
        <v>126</v>
      </c>
      <c r="N815" s="3" t="s">
        <v>126</v>
      </c>
      <c r="O815" s="5"/>
      <c r="P815" s="3" t="s">
        <v>22</v>
      </c>
      <c r="Q815" s="7"/>
      <c r="R815" s="7"/>
    </row>
    <row r="816" spans="1:18" ht="114.75" x14ac:dyDescent="0.25">
      <c r="A816" s="3" t="s">
        <v>18</v>
      </c>
      <c r="B816" s="3">
        <v>2013</v>
      </c>
      <c r="C816" s="3" t="s">
        <v>19</v>
      </c>
      <c r="D816" s="3" t="str">
        <f>"823 / 2013"</f>
        <v>823 / 2013</v>
      </c>
      <c r="E816" s="4">
        <v>41611</v>
      </c>
      <c r="F816" s="3" t="s">
        <v>1831</v>
      </c>
      <c r="G816" s="5"/>
      <c r="H816" s="3" t="s">
        <v>1832</v>
      </c>
      <c r="I816" s="3" t="str">
        <f t="shared" si="61"/>
        <v>30 / 27-11-2013</v>
      </c>
      <c r="J816" s="4">
        <v>41605</v>
      </c>
      <c r="K816" s="6">
        <v>0.79166666666666663</v>
      </c>
      <c r="L816" s="3">
        <v>14</v>
      </c>
      <c r="M816" s="3" t="s">
        <v>534</v>
      </c>
      <c r="N816" s="3" t="s">
        <v>534</v>
      </c>
      <c r="O816" s="5"/>
      <c r="P816" s="3" t="s">
        <v>22</v>
      </c>
      <c r="Q816" s="7"/>
      <c r="R816" s="7"/>
    </row>
    <row r="817" spans="1:18" ht="89.25" x14ac:dyDescent="0.25">
      <c r="A817" s="3" t="s">
        <v>18</v>
      </c>
      <c r="B817" s="3">
        <v>2013</v>
      </c>
      <c r="C817" s="3" t="s">
        <v>19</v>
      </c>
      <c r="D817" s="3" t="str">
        <f>"824 / 2013"</f>
        <v>824 / 2013</v>
      </c>
      <c r="E817" s="4">
        <v>41611</v>
      </c>
      <c r="F817" s="3" t="s">
        <v>1833</v>
      </c>
      <c r="G817" s="5"/>
      <c r="H817" s="3" t="s">
        <v>1834</v>
      </c>
      <c r="I817" s="3" t="str">
        <f t="shared" si="61"/>
        <v>30 / 27-11-2013</v>
      </c>
      <c r="J817" s="4">
        <v>41605</v>
      </c>
      <c r="K817" s="6">
        <v>0.79166666666666663</v>
      </c>
      <c r="L817" s="3">
        <v>14</v>
      </c>
      <c r="M817" s="3" t="s">
        <v>534</v>
      </c>
      <c r="N817" s="3" t="s">
        <v>534</v>
      </c>
      <c r="O817" s="5"/>
      <c r="P817" s="3" t="s">
        <v>22</v>
      </c>
      <c r="Q817" s="7"/>
      <c r="R817" s="7"/>
    </row>
    <row r="818" spans="1:18" ht="89.25" x14ac:dyDescent="0.25">
      <c r="A818" s="3" t="s">
        <v>18</v>
      </c>
      <c r="B818" s="3">
        <v>2013</v>
      </c>
      <c r="C818" s="3" t="s">
        <v>19</v>
      </c>
      <c r="D818" s="3" t="str">
        <f>"825 / 2013"</f>
        <v>825 / 2013</v>
      </c>
      <c r="E818" s="4">
        <v>41607</v>
      </c>
      <c r="F818" s="3" t="s">
        <v>1835</v>
      </c>
      <c r="G818" s="5"/>
      <c r="H818" s="3" t="s">
        <v>1836</v>
      </c>
      <c r="I818" s="3" t="str">
        <f t="shared" si="61"/>
        <v>30 / 27-11-2013</v>
      </c>
      <c r="J818" s="4">
        <v>41605</v>
      </c>
      <c r="K818" s="6">
        <v>0.79166666666666663</v>
      </c>
      <c r="L818" s="3">
        <v>14</v>
      </c>
      <c r="M818" s="3" t="s">
        <v>126</v>
      </c>
      <c r="N818" s="3" t="s">
        <v>126</v>
      </c>
      <c r="O818" s="5"/>
      <c r="P818" s="3" t="s">
        <v>22</v>
      </c>
      <c r="Q818" s="7"/>
      <c r="R818" s="7"/>
    </row>
    <row r="819" spans="1:18" ht="76.5" x14ac:dyDescent="0.25">
      <c r="A819" s="3" t="s">
        <v>18</v>
      </c>
      <c r="B819" s="3">
        <v>2013</v>
      </c>
      <c r="C819" s="3" t="s">
        <v>19</v>
      </c>
      <c r="D819" s="3" t="str">
        <f>"826 / 2013"</f>
        <v>826 / 2013</v>
      </c>
      <c r="E819" s="4">
        <v>41638</v>
      </c>
      <c r="F819" s="3" t="s">
        <v>1837</v>
      </c>
      <c r="G819" s="5"/>
      <c r="H819" s="3" t="s">
        <v>1838</v>
      </c>
      <c r="I819" s="3" t="str">
        <f t="shared" si="61"/>
        <v>30 / 27-11-2013</v>
      </c>
      <c r="J819" s="4">
        <v>41605</v>
      </c>
      <c r="K819" s="6">
        <v>0.79166666666666663</v>
      </c>
      <c r="L819" s="3">
        <v>15</v>
      </c>
      <c r="M819" s="3" t="s">
        <v>352</v>
      </c>
      <c r="N819" s="3" t="s">
        <v>352</v>
      </c>
      <c r="O819" s="5"/>
      <c r="P819" s="3" t="s">
        <v>22</v>
      </c>
      <c r="Q819" s="7"/>
      <c r="R819" s="7"/>
    </row>
    <row r="820" spans="1:18" ht="89.25" x14ac:dyDescent="0.25">
      <c r="A820" s="3" t="s">
        <v>18</v>
      </c>
      <c r="B820" s="3">
        <v>2013</v>
      </c>
      <c r="C820" s="3" t="s">
        <v>19</v>
      </c>
      <c r="D820" s="3" t="str">
        <f>"827 / 2013"</f>
        <v>827 / 2013</v>
      </c>
      <c r="E820" s="4">
        <v>41613</v>
      </c>
      <c r="F820" s="3" t="s">
        <v>1839</v>
      </c>
      <c r="G820" s="5"/>
      <c r="H820" s="3" t="s">
        <v>1840</v>
      </c>
      <c r="I820" s="3" t="str">
        <f t="shared" si="61"/>
        <v>30 / 27-11-2013</v>
      </c>
      <c r="J820" s="4">
        <v>41605</v>
      </c>
      <c r="K820" s="6">
        <v>0.79166666666666663</v>
      </c>
      <c r="L820" s="3">
        <v>16</v>
      </c>
      <c r="M820" s="3" t="s">
        <v>56</v>
      </c>
      <c r="N820" s="3" t="s">
        <v>56</v>
      </c>
      <c r="O820" s="5"/>
      <c r="P820" s="3" t="s">
        <v>22</v>
      </c>
      <c r="Q820" s="7"/>
      <c r="R820" s="7"/>
    </row>
    <row r="821" spans="1:18" ht="63.75" x14ac:dyDescent="0.25">
      <c r="A821" s="3" t="s">
        <v>18</v>
      </c>
      <c r="B821" s="3">
        <v>2013</v>
      </c>
      <c r="C821" s="3" t="s">
        <v>19</v>
      </c>
      <c r="D821" s="3" t="str">
        <f>"828 / 2013"</f>
        <v>828 / 2013</v>
      </c>
      <c r="E821" s="4">
        <v>41618</v>
      </c>
      <c r="F821" s="3" t="s">
        <v>1841</v>
      </c>
      <c r="G821" s="5"/>
      <c r="H821" s="3" t="s">
        <v>1842</v>
      </c>
      <c r="I821" s="3" t="str">
        <f t="shared" si="61"/>
        <v>30 / 27-11-2013</v>
      </c>
      <c r="J821" s="4">
        <v>41605</v>
      </c>
      <c r="K821" s="6">
        <v>0.79166666666666663</v>
      </c>
      <c r="L821" s="3">
        <v>17</v>
      </c>
      <c r="M821" s="3" t="s">
        <v>784</v>
      </c>
      <c r="N821" s="3" t="s">
        <v>784</v>
      </c>
      <c r="O821" s="5"/>
      <c r="P821" s="3" t="s">
        <v>22</v>
      </c>
      <c r="Q821" s="7"/>
      <c r="R821" s="7"/>
    </row>
    <row r="822" spans="1:18" ht="51" x14ac:dyDescent="0.25">
      <c r="A822" s="3" t="s">
        <v>18</v>
      </c>
      <c r="B822" s="3">
        <v>2013</v>
      </c>
      <c r="C822" s="3" t="s">
        <v>19</v>
      </c>
      <c r="D822" s="3" t="str">
        <f>"829 / 2013"</f>
        <v>829 / 2013</v>
      </c>
      <c r="E822" s="4">
        <v>41610</v>
      </c>
      <c r="F822" s="3" t="s">
        <v>1843</v>
      </c>
      <c r="G822" s="5"/>
      <c r="H822" s="3" t="s">
        <v>1844</v>
      </c>
      <c r="I822" s="3" t="str">
        <f t="shared" si="61"/>
        <v>30 / 27-11-2013</v>
      </c>
      <c r="J822" s="4">
        <v>41605</v>
      </c>
      <c r="K822" s="6">
        <v>0.79166666666666663</v>
      </c>
      <c r="L822" s="3">
        <v>18</v>
      </c>
      <c r="M822" s="3" t="s">
        <v>56</v>
      </c>
      <c r="N822" s="3" t="s">
        <v>56</v>
      </c>
      <c r="O822" s="5"/>
      <c r="P822" s="3" t="s">
        <v>22</v>
      </c>
      <c r="Q822" s="7"/>
      <c r="R822" s="7"/>
    </row>
    <row r="823" spans="1:18" ht="51" x14ac:dyDescent="0.25">
      <c r="A823" s="3" t="s">
        <v>18</v>
      </c>
      <c r="B823" s="3">
        <v>2013</v>
      </c>
      <c r="C823" s="3" t="s">
        <v>19</v>
      </c>
      <c r="D823" s="3" t="str">
        <f>"83/2013"</f>
        <v>83/2013</v>
      </c>
      <c r="E823" s="4">
        <v>41327</v>
      </c>
      <c r="F823" s="3" t="s">
        <v>1845</v>
      </c>
      <c r="G823" s="5"/>
      <c r="H823" s="3" t="s">
        <v>1846</v>
      </c>
      <c r="I823" s="3" t="str">
        <f>"5/20-02-2013"</f>
        <v>5/20-02-2013</v>
      </c>
      <c r="J823" s="4">
        <v>41325</v>
      </c>
      <c r="K823" s="6">
        <v>0.79166666666666663</v>
      </c>
      <c r="L823" s="3">
        <v>28</v>
      </c>
      <c r="M823" s="3" t="s">
        <v>129</v>
      </c>
      <c r="N823" s="3" t="s">
        <v>129</v>
      </c>
      <c r="O823" s="5"/>
      <c r="P823" s="3" t="s">
        <v>22</v>
      </c>
      <c r="Q823" s="7"/>
      <c r="R823" s="7"/>
    </row>
    <row r="824" spans="1:18" ht="51" x14ac:dyDescent="0.25">
      <c r="A824" s="3" t="s">
        <v>18</v>
      </c>
      <c r="B824" s="3">
        <v>2013</v>
      </c>
      <c r="C824" s="3" t="s">
        <v>19</v>
      </c>
      <c r="D824" s="3" t="str">
        <f>"830 / 2013"</f>
        <v>830 / 2013</v>
      </c>
      <c r="E824" s="4">
        <v>41612</v>
      </c>
      <c r="F824" s="3" t="s">
        <v>1847</v>
      </c>
      <c r="G824" s="5"/>
      <c r="H824" s="3" t="s">
        <v>1848</v>
      </c>
      <c r="I824" s="3" t="str">
        <f t="shared" ref="I824:I832" si="62">"30 / 27-11-2013"</f>
        <v>30 / 27-11-2013</v>
      </c>
      <c r="J824" s="4">
        <v>41605</v>
      </c>
      <c r="K824" s="6">
        <v>0.79166666666666663</v>
      </c>
      <c r="L824" s="3">
        <v>18</v>
      </c>
      <c r="M824" s="3" t="s">
        <v>56</v>
      </c>
      <c r="N824" s="3" t="s">
        <v>56</v>
      </c>
      <c r="O824" s="5"/>
      <c r="P824" s="3" t="s">
        <v>22</v>
      </c>
      <c r="Q824" s="7"/>
      <c r="R824" s="7"/>
    </row>
    <row r="825" spans="1:18" ht="38.25" x14ac:dyDescent="0.25">
      <c r="A825" s="3" t="s">
        <v>18</v>
      </c>
      <c r="B825" s="3">
        <v>2013</v>
      </c>
      <c r="C825" s="3" t="s">
        <v>19</v>
      </c>
      <c r="D825" s="3" t="str">
        <f>"831 / 2013"</f>
        <v>831 / 2013</v>
      </c>
      <c r="E825" s="4">
        <v>41610</v>
      </c>
      <c r="F825" s="3" t="s">
        <v>1849</v>
      </c>
      <c r="G825" s="5"/>
      <c r="H825" s="3" t="s">
        <v>1850</v>
      </c>
      <c r="I825" s="3" t="str">
        <f t="shared" si="62"/>
        <v>30 / 27-11-2013</v>
      </c>
      <c r="J825" s="4">
        <v>41605</v>
      </c>
      <c r="K825" s="6">
        <v>0.79166666666666663</v>
      </c>
      <c r="L825" s="3">
        <v>18</v>
      </c>
      <c r="M825" s="3" t="s">
        <v>56</v>
      </c>
      <c r="N825" s="3" t="s">
        <v>56</v>
      </c>
      <c r="O825" s="5"/>
      <c r="P825" s="3" t="s">
        <v>22</v>
      </c>
      <c r="Q825" s="7"/>
      <c r="R825" s="7"/>
    </row>
    <row r="826" spans="1:18" ht="38.25" x14ac:dyDescent="0.25">
      <c r="A826" s="3" t="s">
        <v>18</v>
      </c>
      <c r="B826" s="3">
        <v>2013</v>
      </c>
      <c r="C826" s="3" t="s">
        <v>19</v>
      </c>
      <c r="D826" s="3" t="str">
        <f>"832 / 2013"</f>
        <v>832 / 2013</v>
      </c>
      <c r="E826" s="4">
        <v>41610</v>
      </c>
      <c r="F826" s="3" t="s">
        <v>1851</v>
      </c>
      <c r="G826" s="5"/>
      <c r="H826" s="3" t="s">
        <v>1852</v>
      </c>
      <c r="I826" s="3" t="str">
        <f t="shared" si="62"/>
        <v>30 / 27-11-2013</v>
      </c>
      <c r="J826" s="4">
        <v>41605</v>
      </c>
      <c r="K826" s="6">
        <v>0.79166666666666663</v>
      </c>
      <c r="L826" s="3">
        <v>18</v>
      </c>
      <c r="M826" s="3" t="s">
        <v>56</v>
      </c>
      <c r="N826" s="3" t="s">
        <v>56</v>
      </c>
      <c r="O826" s="5"/>
      <c r="P826" s="3" t="s">
        <v>22</v>
      </c>
      <c r="Q826" s="7"/>
      <c r="R826" s="7"/>
    </row>
    <row r="827" spans="1:18" ht="38.25" x14ac:dyDescent="0.25">
      <c r="A827" s="3" t="s">
        <v>18</v>
      </c>
      <c r="B827" s="3">
        <v>2013</v>
      </c>
      <c r="C827" s="3" t="s">
        <v>19</v>
      </c>
      <c r="D827" s="3" t="str">
        <f>"833 / 2013"</f>
        <v>833 / 2013</v>
      </c>
      <c r="E827" s="4">
        <v>41612</v>
      </c>
      <c r="F827" s="3" t="s">
        <v>1853</v>
      </c>
      <c r="G827" s="5"/>
      <c r="H827" s="3" t="s">
        <v>1854</v>
      </c>
      <c r="I827" s="3" t="str">
        <f t="shared" si="62"/>
        <v>30 / 27-11-2013</v>
      </c>
      <c r="J827" s="4">
        <v>41605</v>
      </c>
      <c r="K827" s="6">
        <v>0.79166666666666663</v>
      </c>
      <c r="L827" s="3">
        <v>18</v>
      </c>
      <c r="M827" s="3" t="s">
        <v>56</v>
      </c>
      <c r="N827" s="3" t="s">
        <v>56</v>
      </c>
      <c r="O827" s="5"/>
      <c r="P827" s="3" t="s">
        <v>22</v>
      </c>
      <c r="Q827" s="7"/>
      <c r="R827" s="7"/>
    </row>
    <row r="828" spans="1:18" ht="51" x14ac:dyDescent="0.25">
      <c r="A828" s="3" t="s">
        <v>18</v>
      </c>
      <c r="B828" s="3">
        <v>2013</v>
      </c>
      <c r="C828" s="3" t="s">
        <v>19</v>
      </c>
      <c r="D828" s="3" t="str">
        <f>"834 / 2013"</f>
        <v>834 / 2013</v>
      </c>
      <c r="E828" s="4">
        <v>41606</v>
      </c>
      <c r="F828" s="3" t="s">
        <v>1855</v>
      </c>
      <c r="G828" s="5"/>
      <c r="H828" s="3" t="s">
        <v>1856</v>
      </c>
      <c r="I828" s="3" t="str">
        <f t="shared" si="62"/>
        <v>30 / 27-11-2013</v>
      </c>
      <c r="J828" s="4">
        <v>41605</v>
      </c>
      <c r="K828" s="6">
        <v>0.79166666666666663</v>
      </c>
      <c r="L828" s="3">
        <v>19</v>
      </c>
      <c r="M828" s="3" t="s">
        <v>56</v>
      </c>
      <c r="N828" s="3" t="s">
        <v>56</v>
      </c>
      <c r="O828" s="5"/>
      <c r="P828" s="3" t="s">
        <v>22</v>
      </c>
      <c r="Q828" s="7"/>
      <c r="R828" s="7"/>
    </row>
    <row r="829" spans="1:18" ht="63.75" x14ac:dyDescent="0.25">
      <c r="A829" s="3" t="s">
        <v>18</v>
      </c>
      <c r="B829" s="3">
        <v>2013</v>
      </c>
      <c r="C829" s="3" t="s">
        <v>19</v>
      </c>
      <c r="D829" s="3" t="str">
        <f>"835 / 2013"</f>
        <v>835 / 2013</v>
      </c>
      <c r="E829" s="4">
        <v>41612</v>
      </c>
      <c r="F829" s="3" t="s">
        <v>1857</v>
      </c>
      <c r="G829" s="5"/>
      <c r="H829" s="3" t="s">
        <v>1858</v>
      </c>
      <c r="I829" s="3" t="str">
        <f t="shared" si="62"/>
        <v>30 / 27-11-2013</v>
      </c>
      <c r="J829" s="4">
        <v>41605</v>
      </c>
      <c r="K829" s="6">
        <v>0.79166666666666663</v>
      </c>
      <c r="L829" s="3">
        <v>20</v>
      </c>
      <c r="M829" s="3" t="s">
        <v>56</v>
      </c>
      <c r="N829" s="3" t="s">
        <v>56</v>
      </c>
      <c r="O829" s="5"/>
      <c r="P829" s="3" t="s">
        <v>22</v>
      </c>
      <c r="Q829" s="7"/>
      <c r="R829" s="7"/>
    </row>
    <row r="830" spans="1:18" ht="51" x14ac:dyDescent="0.25">
      <c r="A830" s="3" t="s">
        <v>18</v>
      </c>
      <c r="B830" s="3">
        <v>2013</v>
      </c>
      <c r="C830" s="3" t="s">
        <v>19</v>
      </c>
      <c r="D830" s="3" t="str">
        <f>"836 / 2013"</f>
        <v>836 / 2013</v>
      </c>
      <c r="E830" s="4">
        <v>41612</v>
      </c>
      <c r="F830" s="3" t="s">
        <v>1859</v>
      </c>
      <c r="G830" s="5"/>
      <c r="H830" s="3" t="s">
        <v>1860</v>
      </c>
      <c r="I830" s="3" t="str">
        <f t="shared" si="62"/>
        <v>30 / 27-11-2013</v>
      </c>
      <c r="J830" s="4">
        <v>41605</v>
      </c>
      <c r="K830" s="6">
        <v>0.79166666666666663</v>
      </c>
      <c r="L830" s="3">
        <v>21</v>
      </c>
      <c r="M830" s="3" t="s">
        <v>56</v>
      </c>
      <c r="N830" s="3" t="s">
        <v>56</v>
      </c>
      <c r="O830" s="5"/>
      <c r="P830" s="3" t="s">
        <v>22</v>
      </c>
      <c r="Q830" s="7"/>
      <c r="R830" s="7"/>
    </row>
    <row r="831" spans="1:18" ht="76.5" x14ac:dyDescent="0.25">
      <c r="A831" s="3" t="s">
        <v>18</v>
      </c>
      <c r="B831" s="3">
        <v>2013</v>
      </c>
      <c r="C831" s="3" t="s">
        <v>19</v>
      </c>
      <c r="D831" s="3" t="str">
        <f>"838 / 2013"</f>
        <v>838 / 2013</v>
      </c>
      <c r="E831" s="4">
        <v>41606</v>
      </c>
      <c r="F831" s="3" t="s">
        <v>1861</v>
      </c>
      <c r="G831" s="5"/>
      <c r="H831" s="3" t="s">
        <v>1862</v>
      </c>
      <c r="I831" s="3" t="str">
        <f t="shared" si="62"/>
        <v>30 / 27-11-2013</v>
      </c>
      <c r="J831" s="4">
        <v>41605</v>
      </c>
      <c r="K831" s="6">
        <v>0.79166666666666663</v>
      </c>
      <c r="L831" s="3">
        <v>23</v>
      </c>
      <c r="M831" s="3" t="s">
        <v>32</v>
      </c>
      <c r="N831" s="3" t="s">
        <v>32</v>
      </c>
      <c r="O831" s="5"/>
      <c r="P831" s="3" t="s">
        <v>22</v>
      </c>
      <c r="Q831" s="7"/>
      <c r="R831" s="7"/>
    </row>
    <row r="832" spans="1:18" ht="51" x14ac:dyDescent="0.25">
      <c r="A832" s="3" t="s">
        <v>18</v>
      </c>
      <c r="B832" s="3">
        <v>2013</v>
      </c>
      <c r="C832" s="3" t="s">
        <v>19</v>
      </c>
      <c r="D832" s="3" t="str">
        <f>"839 / 2013"</f>
        <v>839 / 2013</v>
      </c>
      <c r="E832" s="4">
        <v>41607</v>
      </c>
      <c r="F832" s="3" t="s">
        <v>1863</v>
      </c>
      <c r="G832" s="5"/>
      <c r="H832" s="3" t="s">
        <v>1864</v>
      </c>
      <c r="I832" s="3" t="str">
        <f t="shared" si="62"/>
        <v>30 / 27-11-2013</v>
      </c>
      <c r="J832" s="4">
        <v>41605</v>
      </c>
      <c r="K832" s="6">
        <v>0.79166666666666663</v>
      </c>
      <c r="L832" s="3">
        <v>24</v>
      </c>
      <c r="M832" s="3" t="s">
        <v>32</v>
      </c>
      <c r="N832" s="3" t="s">
        <v>32</v>
      </c>
      <c r="O832" s="5"/>
      <c r="P832" s="3" t="s">
        <v>22</v>
      </c>
      <c r="Q832" s="7"/>
      <c r="R832" s="7"/>
    </row>
    <row r="833" spans="1:18" ht="76.5" x14ac:dyDescent="0.25">
      <c r="A833" s="3" t="s">
        <v>18</v>
      </c>
      <c r="B833" s="3">
        <v>2013</v>
      </c>
      <c r="C833" s="3" t="s">
        <v>19</v>
      </c>
      <c r="D833" s="3" t="str">
        <f>"84/2013"</f>
        <v>84/2013</v>
      </c>
      <c r="E833" s="4">
        <v>41327</v>
      </c>
      <c r="F833" s="3" t="s">
        <v>1865</v>
      </c>
      <c r="G833" s="5"/>
      <c r="H833" s="3" t="s">
        <v>1866</v>
      </c>
      <c r="I833" s="3" t="str">
        <f>"5/20-02-2013"</f>
        <v>5/20-02-2013</v>
      </c>
      <c r="J833" s="4">
        <v>41325</v>
      </c>
      <c r="K833" s="6">
        <v>0.79166666666666663</v>
      </c>
      <c r="L833" s="3">
        <v>28</v>
      </c>
      <c r="M833" s="3" t="s">
        <v>185</v>
      </c>
      <c r="N833" s="3" t="s">
        <v>185</v>
      </c>
      <c r="O833" s="5"/>
      <c r="P833" s="3" t="s">
        <v>22</v>
      </c>
      <c r="Q833" s="7"/>
      <c r="R833" s="7"/>
    </row>
    <row r="834" spans="1:18" ht="63.75" x14ac:dyDescent="0.25">
      <c r="A834" s="3" t="s">
        <v>18</v>
      </c>
      <c r="B834" s="3">
        <v>2013</v>
      </c>
      <c r="C834" s="3" t="s">
        <v>19</v>
      </c>
      <c r="D834" s="3" t="str">
        <f>"840 / 2013"</f>
        <v>840 / 2013</v>
      </c>
      <c r="E834" s="4">
        <v>41607</v>
      </c>
      <c r="F834" s="3" t="s">
        <v>1867</v>
      </c>
      <c r="G834" s="5"/>
      <c r="H834" s="3" t="s">
        <v>1868</v>
      </c>
      <c r="I834" s="3" t="str">
        <f>"30 / 27-11-2013"</f>
        <v>30 / 27-11-2013</v>
      </c>
      <c r="J834" s="4">
        <v>41605</v>
      </c>
      <c r="K834" s="6">
        <v>0.79166666666666663</v>
      </c>
      <c r="L834" s="3">
        <v>25</v>
      </c>
      <c r="M834" s="3" t="s">
        <v>132</v>
      </c>
      <c r="N834" s="3" t="s">
        <v>132</v>
      </c>
      <c r="O834" s="5"/>
      <c r="P834" s="3" t="s">
        <v>22</v>
      </c>
      <c r="Q834" s="7"/>
      <c r="R834" s="7"/>
    </row>
    <row r="835" spans="1:18" ht="38.25" x14ac:dyDescent="0.25">
      <c r="A835" s="3" t="s">
        <v>18</v>
      </c>
      <c r="B835" s="3">
        <v>2013</v>
      </c>
      <c r="C835" s="3" t="s">
        <v>19</v>
      </c>
      <c r="D835" s="3" t="str">
        <f>"841 / 2013"</f>
        <v>841 / 2013</v>
      </c>
      <c r="E835" s="4">
        <v>41606</v>
      </c>
      <c r="F835" s="3" t="s">
        <v>1869</v>
      </c>
      <c r="G835" s="5"/>
      <c r="H835" s="3" t="s">
        <v>1870</v>
      </c>
      <c r="I835" s="3" t="str">
        <f>"30 / 27-11-2013"</f>
        <v>30 / 27-11-2013</v>
      </c>
      <c r="J835" s="4">
        <v>41605</v>
      </c>
      <c r="K835" s="6">
        <v>0.79166666666666663</v>
      </c>
      <c r="L835" s="5"/>
      <c r="M835" s="3" t="s">
        <v>1230</v>
      </c>
      <c r="N835" s="3" t="s">
        <v>1230</v>
      </c>
      <c r="O835" s="5"/>
      <c r="P835" s="3" t="s">
        <v>74</v>
      </c>
      <c r="Q835" s="7"/>
      <c r="R835" s="7"/>
    </row>
    <row r="836" spans="1:18" ht="25.5" x14ac:dyDescent="0.25">
      <c r="A836" s="3" t="s">
        <v>18</v>
      </c>
      <c r="B836" s="3">
        <v>2013</v>
      </c>
      <c r="C836" s="3" t="s">
        <v>19</v>
      </c>
      <c r="D836" s="3" t="str">
        <f>"842 / 2013"</f>
        <v>842 / 2013</v>
      </c>
      <c r="E836" s="4">
        <v>41626</v>
      </c>
      <c r="F836" s="3" t="s">
        <v>1871</v>
      </c>
      <c r="G836" s="5"/>
      <c r="H836" s="3" t="s">
        <v>1872</v>
      </c>
      <c r="I836" s="3" t="str">
        <f>"31 / 18-12-2013"</f>
        <v>31 / 18-12-2013</v>
      </c>
      <c r="J836" s="4">
        <v>41626</v>
      </c>
      <c r="K836" s="6">
        <v>0.75</v>
      </c>
      <c r="L836" s="3">
        <v>1</v>
      </c>
      <c r="M836" s="5"/>
      <c r="N836" s="5"/>
      <c r="O836" s="5"/>
      <c r="P836" s="3" t="s">
        <v>22</v>
      </c>
      <c r="Q836" s="7"/>
      <c r="R836" s="7"/>
    </row>
    <row r="837" spans="1:18" ht="51" x14ac:dyDescent="0.25">
      <c r="A837" s="3" t="s">
        <v>18</v>
      </c>
      <c r="B837" s="3">
        <v>2013</v>
      </c>
      <c r="C837" s="3" t="s">
        <v>19</v>
      </c>
      <c r="D837" s="3" t="str">
        <f>"843 / 2013"</f>
        <v>843 / 2013</v>
      </c>
      <c r="E837" s="4">
        <v>41626</v>
      </c>
      <c r="F837" s="3" t="s">
        <v>1873</v>
      </c>
      <c r="G837" s="5"/>
      <c r="H837" s="3" t="s">
        <v>1874</v>
      </c>
      <c r="I837" s="3" t="str">
        <f>"31 / 18-12-2013"</f>
        <v>31 / 18-12-2013</v>
      </c>
      <c r="J837" s="4">
        <v>41626</v>
      </c>
      <c r="K837" s="6">
        <v>0.75</v>
      </c>
      <c r="L837" s="3">
        <v>1</v>
      </c>
      <c r="M837" s="5"/>
      <c r="N837" s="5"/>
      <c r="O837" s="5"/>
      <c r="P837" s="3" t="s">
        <v>22</v>
      </c>
      <c r="Q837" s="7"/>
      <c r="R837" s="7"/>
    </row>
    <row r="838" spans="1:18" ht="127.5" x14ac:dyDescent="0.25">
      <c r="A838" s="3" t="s">
        <v>18</v>
      </c>
      <c r="B838" s="3">
        <v>2013</v>
      </c>
      <c r="C838" s="3" t="s">
        <v>19</v>
      </c>
      <c r="D838" s="3" t="str">
        <f>"844 / 2013"</f>
        <v>844 / 2013</v>
      </c>
      <c r="E838" s="4">
        <v>41631</v>
      </c>
      <c r="F838" s="3" t="s">
        <v>1875</v>
      </c>
      <c r="G838" s="5"/>
      <c r="H838" s="3" t="s">
        <v>1876</v>
      </c>
      <c r="I838" s="3" t="str">
        <f t="shared" ref="I838:I854" si="63">"32 / 18-12-2013"</f>
        <v>32 / 18-12-2013</v>
      </c>
      <c r="J838" s="4">
        <v>41626</v>
      </c>
      <c r="K838" s="6">
        <v>0.83333333333333337</v>
      </c>
      <c r="L838" s="3">
        <v>1</v>
      </c>
      <c r="M838" s="3" t="s">
        <v>496</v>
      </c>
      <c r="N838" s="3" t="s">
        <v>496</v>
      </c>
      <c r="O838" s="5"/>
      <c r="P838" s="3" t="s">
        <v>22</v>
      </c>
      <c r="Q838" s="7"/>
      <c r="R838" s="7"/>
    </row>
    <row r="839" spans="1:18" ht="76.5" x14ac:dyDescent="0.25">
      <c r="A839" s="3" t="s">
        <v>18</v>
      </c>
      <c r="B839" s="3">
        <v>2013</v>
      </c>
      <c r="C839" s="3" t="s">
        <v>19</v>
      </c>
      <c r="D839" s="3" t="str">
        <f>"845 / 2013"</f>
        <v>845 / 2013</v>
      </c>
      <c r="E839" s="4">
        <v>41627</v>
      </c>
      <c r="F839" s="3" t="s">
        <v>1877</v>
      </c>
      <c r="G839" s="5"/>
      <c r="H839" s="3" t="s">
        <v>1878</v>
      </c>
      <c r="I839" s="3" t="str">
        <f t="shared" si="63"/>
        <v>32 / 18-12-2013</v>
      </c>
      <c r="J839" s="4">
        <v>41626</v>
      </c>
      <c r="K839" s="6">
        <v>0.83333333333333337</v>
      </c>
      <c r="L839" s="3">
        <v>2</v>
      </c>
      <c r="M839" s="3" t="s">
        <v>333</v>
      </c>
      <c r="N839" s="3" t="s">
        <v>333</v>
      </c>
      <c r="O839" s="5"/>
      <c r="P839" s="3" t="s">
        <v>22</v>
      </c>
      <c r="Q839" s="7"/>
      <c r="R839" s="7"/>
    </row>
    <row r="840" spans="1:18" ht="51" x14ac:dyDescent="0.25">
      <c r="A840" s="3" t="s">
        <v>18</v>
      </c>
      <c r="B840" s="3">
        <v>2013</v>
      </c>
      <c r="C840" s="3" t="s">
        <v>19</v>
      </c>
      <c r="D840" s="3" t="str">
        <f>"846 / 2013"</f>
        <v>846 / 2013</v>
      </c>
      <c r="E840" s="4">
        <v>41627</v>
      </c>
      <c r="F840" s="3" t="s">
        <v>1879</v>
      </c>
      <c r="G840" s="5"/>
      <c r="H840" s="3" t="s">
        <v>1880</v>
      </c>
      <c r="I840" s="3" t="str">
        <f t="shared" si="63"/>
        <v>32 / 18-12-2013</v>
      </c>
      <c r="J840" s="4">
        <v>41626</v>
      </c>
      <c r="K840" s="6">
        <v>0.83333333333333337</v>
      </c>
      <c r="L840" s="3">
        <v>3</v>
      </c>
      <c r="M840" s="3" t="s">
        <v>333</v>
      </c>
      <c r="N840" s="3" t="s">
        <v>333</v>
      </c>
      <c r="O840" s="5"/>
      <c r="P840" s="3" t="s">
        <v>22</v>
      </c>
      <c r="Q840" s="7"/>
      <c r="R840" s="7"/>
    </row>
    <row r="841" spans="1:18" ht="76.5" x14ac:dyDescent="0.25">
      <c r="A841" s="3" t="s">
        <v>18</v>
      </c>
      <c r="B841" s="3">
        <v>2013</v>
      </c>
      <c r="C841" s="3" t="s">
        <v>19</v>
      </c>
      <c r="D841" s="3" t="str">
        <f>"847 / 2013"</f>
        <v>847 / 2013</v>
      </c>
      <c r="E841" s="4">
        <v>41626</v>
      </c>
      <c r="F841" s="3" t="s">
        <v>1881</v>
      </c>
      <c r="G841" s="5"/>
      <c r="H841" s="3" t="s">
        <v>1882</v>
      </c>
      <c r="I841" s="3" t="str">
        <f t="shared" si="63"/>
        <v>32 / 18-12-2013</v>
      </c>
      <c r="J841" s="4">
        <v>41626</v>
      </c>
      <c r="K841" s="6">
        <v>0.83333333333333337</v>
      </c>
      <c r="L841" s="3">
        <v>4</v>
      </c>
      <c r="M841" s="3" t="s">
        <v>126</v>
      </c>
      <c r="N841" s="3" t="s">
        <v>126</v>
      </c>
      <c r="O841" s="5"/>
      <c r="P841" s="3" t="s">
        <v>22</v>
      </c>
      <c r="Q841" s="7"/>
      <c r="R841" s="7"/>
    </row>
    <row r="842" spans="1:18" ht="76.5" x14ac:dyDescent="0.25">
      <c r="A842" s="3" t="s">
        <v>18</v>
      </c>
      <c r="B842" s="3">
        <v>2013</v>
      </c>
      <c r="C842" s="3" t="s">
        <v>19</v>
      </c>
      <c r="D842" s="3" t="str">
        <f>"848 / 2013"</f>
        <v>848 / 2013</v>
      </c>
      <c r="E842" s="4">
        <v>41626</v>
      </c>
      <c r="F842" s="3" t="s">
        <v>1883</v>
      </c>
      <c r="G842" s="5"/>
      <c r="H842" s="3" t="s">
        <v>1884</v>
      </c>
      <c r="I842" s="3" t="str">
        <f t="shared" si="63"/>
        <v>32 / 18-12-2013</v>
      </c>
      <c r="J842" s="4">
        <v>41626</v>
      </c>
      <c r="K842" s="6">
        <v>0.83333333333333337</v>
      </c>
      <c r="L842" s="3">
        <v>4</v>
      </c>
      <c r="M842" s="3" t="s">
        <v>126</v>
      </c>
      <c r="N842" s="3" t="s">
        <v>126</v>
      </c>
      <c r="O842" s="5"/>
      <c r="P842" s="3" t="s">
        <v>22</v>
      </c>
      <c r="Q842" s="7"/>
      <c r="R842" s="7"/>
    </row>
    <row r="843" spans="1:18" ht="63.75" x14ac:dyDescent="0.25">
      <c r="A843" s="3" t="s">
        <v>18</v>
      </c>
      <c r="B843" s="3">
        <v>2013</v>
      </c>
      <c r="C843" s="3" t="s">
        <v>19</v>
      </c>
      <c r="D843" s="3" t="str">
        <f>"849 / 2013"</f>
        <v>849 / 2013</v>
      </c>
      <c r="E843" s="4">
        <v>41638</v>
      </c>
      <c r="F843" s="3" t="s">
        <v>1885</v>
      </c>
      <c r="G843" s="5"/>
      <c r="H843" s="3" t="s">
        <v>1886</v>
      </c>
      <c r="I843" s="3" t="str">
        <f t="shared" si="63"/>
        <v>32 / 18-12-2013</v>
      </c>
      <c r="J843" s="4">
        <v>41626</v>
      </c>
      <c r="K843" s="6">
        <v>0.83333333333333337</v>
      </c>
      <c r="L843" s="3">
        <v>5</v>
      </c>
      <c r="M843" s="3" t="s">
        <v>913</v>
      </c>
      <c r="N843" s="3" t="s">
        <v>1887</v>
      </c>
      <c r="O843" s="5"/>
      <c r="P843" s="3" t="s">
        <v>22</v>
      </c>
      <c r="Q843" s="7"/>
      <c r="R843" s="7"/>
    </row>
    <row r="844" spans="1:18" ht="102" x14ac:dyDescent="0.25">
      <c r="A844" s="3" t="s">
        <v>18</v>
      </c>
      <c r="B844" s="3">
        <v>2013</v>
      </c>
      <c r="C844" s="3" t="s">
        <v>19</v>
      </c>
      <c r="D844" s="3" t="str">
        <f>"850 / 2013"</f>
        <v>850 / 2013</v>
      </c>
      <c r="E844" s="4">
        <v>41626</v>
      </c>
      <c r="F844" s="3" t="s">
        <v>1888</v>
      </c>
      <c r="G844" s="5"/>
      <c r="H844" s="3" t="s">
        <v>1889</v>
      </c>
      <c r="I844" s="3" t="str">
        <f t="shared" si="63"/>
        <v>32 / 18-12-2013</v>
      </c>
      <c r="J844" s="4">
        <v>41626</v>
      </c>
      <c r="K844" s="6">
        <v>0.83333333333333337</v>
      </c>
      <c r="L844" s="3">
        <v>5</v>
      </c>
      <c r="M844" s="3" t="s">
        <v>913</v>
      </c>
      <c r="N844" s="3" t="s">
        <v>910</v>
      </c>
      <c r="O844" s="5"/>
      <c r="P844" s="3" t="s">
        <v>22</v>
      </c>
      <c r="Q844" s="7"/>
      <c r="R844" s="7"/>
    </row>
    <row r="845" spans="1:18" ht="63.75" x14ac:dyDescent="0.25">
      <c r="A845" s="3" t="s">
        <v>18</v>
      </c>
      <c r="B845" s="3">
        <v>2013</v>
      </c>
      <c r="C845" s="3" t="s">
        <v>19</v>
      </c>
      <c r="D845" s="3" t="str">
        <f>"851 / 2013"</f>
        <v>851 / 2013</v>
      </c>
      <c r="E845" s="4">
        <v>41638</v>
      </c>
      <c r="F845" s="3" t="s">
        <v>1890</v>
      </c>
      <c r="G845" s="5"/>
      <c r="H845" s="3" t="s">
        <v>1891</v>
      </c>
      <c r="I845" s="3" t="str">
        <f t="shared" si="63"/>
        <v>32 / 18-12-2013</v>
      </c>
      <c r="J845" s="4">
        <v>41626</v>
      </c>
      <c r="K845" s="6">
        <v>0.83333333333333337</v>
      </c>
      <c r="L845" s="3">
        <v>6</v>
      </c>
      <c r="M845" s="3" t="s">
        <v>1319</v>
      </c>
      <c r="N845" s="3" t="s">
        <v>1659</v>
      </c>
      <c r="O845" s="5"/>
      <c r="P845" s="3" t="s">
        <v>22</v>
      </c>
      <c r="Q845" s="7"/>
      <c r="R845" s="7"/>
    </row>
    <row r="846" spans="1:18" ht="63.75" x14ac:dyDescent="0.25">
      <c r="A846" s="3" t="s">
        <v>18</v>
      </c>
      <c r="B846" s="3">
        <v>2013</v>
      </c>
      <c r="C846" s="3" t="s">
        <v>19</v>
      </c>
      <c r="D846" s="3" t="str">
        <f>"851α/ 2013"</f>
        <v>851α/ 2013</v>
      </c>
      <c r="E846" s="4">
        <v>41638</v>
      </c>
      <c r="F846" s="3" t="s">
        <v>1892</v>
      </c>
      <c r="G846" s="5"/>
      <c r="H846" s="3" t="s">
        <v>1893</v>
      </c>
      <c r="I846" s="3" t="str">
        <f t="shared" si="63"/>
        <v>32 / 18-12-2013</v>
      </c>
      <c r="J846" s="4">
        <v>41626</v>
      </c>
      <c r="K846" s="6">
        <v>0.83333333333333337</v>
      </c>
      <c r="L846" s="3">
        <v>6</v>
      </c>
      <c r="M846" s="3" t="s">
        <v>1319</v>
      </c>
      <c r="N846" s="3" t="s">
        <v>1659</v>
      </c>
      <c r="O846" s="5"/>
      <c r="P846" s="3" t="s">
        <v>22</v>
      </c>
      <c r="Q846" s="7"/>
      <c r="R846" s="7"/>
    </row>
    <row r="847" spans="1:18" ht="76.5" x14ac:dyDescent="0.25">
      <c r="A847" s="3" t="s">
        <v>18</v>
      </c>
      <c r="B847" s="3">
        <v>2013</v>
      </c>
      <c r="C847" s="3" t="s">
        <v>19</v>
      </c>
      <c r="D847" s="3" t="str">
        <f>"852 / 2013"</f>
        <v>852 / 2013</v>
      </c>
      <c r="E847" s="4">
        <v>41639</v>
      </c>
      <c r="F847" s="3" t="s">
        <v>1894</v>
      </c>
      <c r="G847" s="5"/>
      <c r="H847" s="3" t="s">
        <v>1895</v>
      </c>
      <c r="I847" s="3" t="str">
        <f t="shared" si="63"/>
        <v>32 / 18-12-2013</v>
      </c>
      <c r="J847" s="4">
        <v>41626</v>
      </c>
      <c r="K847" s="6">
        <v>0.83333333333333337</v>
      </c>
      <c r="L847" s="3">
        <v>7</v>
      </c>
      <c r="M847" s="3" t="s">
        <v>916</v>
      </c>
      <c r="N847" s="3" t="s">
        <v>1896</v>
      </c>
      <c r="O847" s="5"/>
      <c r="P847" s="3" t="s">
        <v>22</v>
      </c>
      <c r="Q847" s="7"/>
      <c r="R847" s="7"/>
    </row>
    <row r="848" spans="1:18" ht="89.25" x14ac:dyDescent="0.25">
      <c r="A848" s="3" t="s">
        <v>18</v>
      </c>
      <c r="B848" s="3">
        <v>2013</v>
      </c>
      <c r="C848" s="3" t="s">
        <v>19</v>
      </c>
      <c r="D848" s="3" t="str">
        <f>"853 / 2013"</f>
        <v>853 / 2013</v>
      </c>
      <c r="E848" s="4">
        <v>41638</v>
      </c>
      <c r="F848" s="3" t="s">
        <v>1897</v>
      </c>
      <c r="G848" s="5"/>
      <c r="H848" s="3" t="s">
        <v>1898</v>
      </c>
      <c r="I848" s="3" t="str">
        <f t="shared" si="63"/>
        <v>32 / 18-12-2013</v>
      </c>
      <c r="J848" s="4">
        <v>41626</v>
      </c>
      <c r="K848" s="6">
        <v>0.83333333333333337</v>
      </c>
      <c r="L848" s="3">
        <v>7</v>
      </c>
      <c r="M848" s="3" t="s">
        <v>916</v>
      </c>
      <c r="N848" s="3" t="s">
        <v>917</v>
      </c>
      <c r="O848" s="5"/>
      <c r="P848" s="3" t="s">
        <v>22</v>
      </c>
      <c r="Q848" s="7"/>
      <c r="R848" s="7"/>
    </row>
    <row r="849" spans="1:18" ht="51" x14ac:dyDescent="0.25">
      <c r="A849" s="3" t="s">
        <v>18</v>
      </c>
      <c r="B849" s="3">
        <v>2013</v>
      </c>
      <c r="C849" s="3" t="s">
        <v>19</v>
      </c>
      <c r="D849" s="3" t="str">
        <f>"854 / 2013"</f>
        <v>854 / 2013</v>
      </c>
      <c r="E849" s="4">
        <v>41626</v>
      </c>
      <c r="F849" s="3" t="s">
        <v>1899</v>
      </c>
      <c r="G849" s="5"/>
      <c r="H849" s="3" t="s">
        <v>1900</v>
      </c>
      <c r="I849" s="3" t="str">
        <f t="shared" si="63"/>
        <v>32 / 18-12-2013</v>
      </c>
      <c r="J849" s="4">
        <v>41626</v>
      </c>
      <c r="K849" s="6">
        <v>0.83333333333333337</v>
      </c>
      <c r="L849" s="3">
        <v>8</v>
      </c>
      <c r="M849" s="3" t="s">
        <v>1240</v>
      </c>
      <c r="N849" s="3" t="s">
        <v>1240</v>
      </c>
      <c r="O849" s="5"/>
      <c r="P849" s="3" t="s">
        <v>22</v>
      </c>
      <c r="Q849" s="7"/>
      <c r="R849" s="7"/>
    </row>
    <row r="850" spans="1:18" ht="102" x14ac:dyDescent="0.25">
      <c r="A850" s="3" t="s">
        <v>18</v>
      </c>
      <c r="B850" s="3">
        <v>2013</v>
      </c>
      <c r="C850" s="3" t="s">
        <v>19</v>
      </c>
      <c r="D850" s="3" t="str">
        <f>"855 / 2013"</f>
        <v>855 / 2013</v>
      </c>
      <c r="E850" s="4">
        <v>41627</v>
      </c>
      <c r="F850" s="3" t="s">
        <v>1901</v>
      </c>
      <c r="G850" s="5"/>
      <c r="H850" s="3" t="s">
        <v>1902</v>
      </c>
      <c r="I850" s="3" t="str">
        <f t="shared" si="63"/>
        <v>32 / 18-12-2013</v>
      </c>
      <c r="J850" s="4">
        <v>41626</v>
      </c>
      <c r="K850" s="6">
        <v>0.83333333333333337</v>
      </c>
      <c r="L850" s="3">
        <v>9</v>
      </c>
      <c r="M850" s="3" t="s">
        <v>501</v>
      </c>
      <c r="N850" s="3" t="s">
        <v>501</v>
      </c>
      <c r="O850" s="5"/>
      <c r="P850" s="3" t="s">
        <v>22</v>
      </c>
      <c r="Q850" s="7"/>
      <c r="R850" s="7"/>
    </row>
    <row r="851" spans="1:18" ht="102" x14ac:dyDescent="0.25">
      <c r="A851" s="3" t="s">
        <v>18</v>
      </c>
      <c r="B851" s="3">
        <v>2013</v>
      </c>
      <c r="C851" s="3" t="s">
        <v>19</v>
      </c>
      <c r="D851" s="3" t="str">
        <f>"856 / 2013"</f>
        <v>856 / 2013</v>
      </c>
      <c r="E851" s="4">
        <v>41627</v>
      </c>
      <c r="F851" s="3" t="s">
        <v>1903</v>
      </c>
      <c r="G851" s="5"/>
      <c r="H851" s="3" t="s">
        <v>1904</v>
      </c>
      <c r="I851" s="3" t="str">
        <f t="shared" si="63"/>
        <v>32 / 18-12-2013</v>
      </c>
      <c r="J851" s="4">
        <v>41626</v>
      </c>
      <c r="K851" s="6">
        <v>0.83333333333333337</v>
      </c>
      <c r="L851" s="3">
        <v>9</v>
      </c>
      <c r="M851" s="3" t="s">
        <v>501</v>
      </c>
      <c r="N851" s="3" t="s">
        <v>501</v>
      </c>
      <c r="O851" s="5"/>
      <c r="P851" s="3" t="s">
        <v>22</v>
      </c>
      <c r="Q851" s="7"/>
      <c r="R851" s="7"/>
    </row>
    <row r="852" spans="1:18" ht="76.5" x14ac:dyDescent="0.25">
      <c r="A852" s="3" t="s">
        <v>18</v>
      </c>
      <c r="B852" s="3">
        <v>2013</v>
      </c>
      <c r="C852" s="3" t="s">
        <v>19</v>
      </c>
      <c r="D852" s="3" t="str">
        <f>"857 / 2013"</f>
        <v>857 / 2013</v>
      </c>
      <c r="E852" s="4">
        <v>41626</v>
      </c>
      <c r="F852" s="3" t="s">
        <v>1905</v>
      </c>
      <c r="G852" s="5"/>
      <c r="H852" s="3" t="s">
        <v>1906</v>
      </c>
      <c r="I852" s="3" t="str">
        <f t="shared" si="63"/>
        <v>32 / 18-12-2013</v>
      </c>
      <c r="J852" s="4">
        <v>41626</v>
      </c>
      <c r="K852" s="6">
        <v>0.83333333333333337</v>
      </c>
      <c r="L852" s="3">
        <v>10</v>
      </c>
      <c r="M852" s="3" t="s">
        <v>50</v>
      </c>
      <c r="N852" s="3" t="s">
        <v>50</v>
      </c>
      <c r="O852" s="5"/>
      <c r="P852" s="3" t="s">
        <v>22</v>
      </c>
      <c r="Q852" s="7"/>
      <c r="R852" s="7"/>
    </row>
    <row r="853" spans="1:18" ht="89.25" x14ac:dyDescent="0.25">
      <c r="A853" s="3" t="s">
        <v>18</v>
      </c>
      <c r="B853" s="3">
        <v>2013</v>
      </c>
      <c r="C853" s="3" t="s">
        <v>19</v>
      </c>
      <c r="D853" s="3" t="str">
        <f>"858 / 2013"</f>
        <v>858 / 2013</v>
      </c>
      <c r="E853" s="4">
        <v>41626</v>
      </c>
      <c r="F853" s="3" t="s">
        <v>1907</v>
      </c>
      <c r="G853" s="5"/>
      <c r="H853" s="3" t="s">
        <v>1908</v>
      </c>
      <c r="I853" s="3" t="str">
        <f t="shared" si="63"/>
        <v>32 / 18-12-2013</v>
      </c>
      <c r="J853" s="4">
        <v>41626</v>
      </c>
      <c r="K853" s="6">
        <v>0.83333333333333337</v>
      </c>
      <c r="L853" s="3">
        <v>10</v>
      </c>
      <c r="M853" s="3" t="s">
        <v>50</v>
      </c>
      <c r="N853" s="3" t="s">
        <v>50</v>
      </c>
      <c r="O853" s="5"/>
      <c r="P853" s="3" t="s">
        <v>22</v>
      </c>
      <c r="Q853" s="7"/>
      <c r="R853" s="7"/>
    </row>
    <row r="854" spans="1:18" ht="165.75" x14ac:dyDescent="0.25">
      <c r="A854" s="3" t="s">
        <v>18</v>
      </c>
      <c r="B854" s="3">
        <v>2013</v>
      </c>
      <c r="C854" s="3" t="s">
        <v>19</v>
      </c>
      <c r="D854" s="3" t="str">
        <f>"859 / 2013"</f>
        <v>859 / 2013</v>
      </c>
      <c r="E854" s="4">
        <v>41626</v>
      </c>
      <c r="F854" s="3" t="s">
        <v>1909</v>
      </c>
      <c r="G854" s="5"/>
      <c r="H854" s="3" t="s">
        <v>1910</v>
      </c>
      <c r="I854" s="3" t="str">
        <f t="shared" si="63"/>
        <v>32 / 18-12-2013</v>
      </c>
      <c r="J854" s="4">
        <v>41626</v>
      </c>
      <c r="K854" s="6">
        <v>0.83333333333333337</v>
      </c>
      <c r="L854" s="3">
        <v>10</v>
      </c>
      <c r="M854" s="3" t="s">
        <v>1911</v>
      </c>
      <c r="N854" s="3" t="s">
        <v>1911</v>
      </c>
      <c r="O854" s="5"/>
      <c r="P854" s="3" t="s">
        <v>22</v>
      </c>
      <c r="Q854" s="7"/>
      <c r="R854" s="7"/>
    </row>
    <row r="855" spans="1:18" ht="63.75" x14ac:dyDescent="0.25">
      <c r="A855" s="3" t="s">
        <v>18</v>
      </c>
      <c r="B855" s="3">
        <v>2013</v>
      </c>
      <c r="C855" s="3" t="s">
        <v>19</v>
      </c>
      <c r="D855" s="3" t="str">
        <f>"86/2013"</f>
        <v>86/2013</v>
      </c>
      <c r="E855" s="4">
        <v>41331</v>
      </c>
      <c r="F855" s="3" t="s">
        <v>1912</v>
      </c>
      <c r="G855" s="5"/>
      <c r="H855" s="3" t="s">
        <v>220</v>
      </c>
      <c r="I855" s="3" t="str">
        <f>"5/20-02-2013"</f>
        <v>5/20-02-2013</v>
      </c>
      <c r="J855" s="4">
        <v>41325</v>
      </c>
      <c r="K855" s="6">
        <v>0.79166666666666663</v>
      </c>
      <c r="L855" s="5"/>
      <c r="M855" s="5"/>
      <c r="N855" s="5"/>
      <c r="O855" s="5"/>
      <c r="P855" s="3" t="s">
        <v>74</v>
      </c>
      <c r="Q855" s="7"/>
      <c r="R855" s="7"/>
    </row>
    <row r="856" spans="1:18" ht="51" x14ac:dyDescent="0.25">
      <c r="A856" s="3" t="s">
        <v>18</v>
      </c>
      <c r="B856" s="3">
        <v>2013</v>
      </c>
      <c r="C856" s="3" t="s">
        <v>19</v>
      </c>
      <c r="D856" s="3" t="str">
        <f>"860 / 2013"</f>
        <v>860 / 2013</v>
      </c>
      <c r="E856" s="4">
        <v>41627</v>
      </c>
      <c r="F856" s="3" t="s">
        <v>1913</v>
      </c>
      <c r="G856" s="5"/>
      <c r="H856" s="3" t="s">
        <v>1914</v>
      </c>
      <c r="I856" s="3" t="str">
        <f t="shared" ref="I856:I864" si="64">"32 / 18-12-2013"</f>
        <v>32 / 18-12-2013</v>
      </c>
      <c r="J856" s="4">
        <v>41626</v>
      </c>
      <c r="K856" s="6">
        <v>0.83333333333333337</v>
      </c>
      <c r="L856" s="3">
        <v>11</v>
      </c>
      <c r="M856" s="3" t="s">
        <v>50</v>
      </c>
      <c r="N856" s="3" t="s">
        <v>50</v>
      </c>
      <c r="O856" s="5"/>
      <c r="P856" s="3" t="s">
        <v>22</v>
      </c>
      <c r="Q856" s="7"/>
      <c r="R856" s="7"/>
    </row>
    <row r="857" spans="1:18" ht="63.75" x14ac:dyDescent="0.25">
      <c r="A857" s="3" t="s">
        <v>18</v>
      </c>
      <c r="B857" s="3">
        <v>2013</v>
      </c>
      <c r="C857" s="3" t="s">
        <v>19</v>
      </c>
      <c r="D857" s="3" t="str">
        <f>"861 / 2013"</f>
        <v>861 / 2013</v>
      </c>
      <c r="E857" s="4">
        <v>41627</v>
      </c>
      <c r="F857" s="3" t="s">
        <v>1915</v>
      </c>
      <c r="G857" s="5"/>
      <c r="H857" s="3" t="s">
        <v>1916</v>
      </c>
      <c r="I857" s="3" t="str">
        <f t="shared" si="64"/>
        <v>32 / 18-12-2013</v>
      </c>
      <c r="J857" s="4">
        <v>41626</v>
      </c>
      <c r="K857" s="6">
        <v>0.83333333333333337</v>
      </c>
      <c r="L857" s="3">
        <v>11</v>
      </c>
      <c r="M857" s="3" t="s">
        <v>50</v>
      </c>
      <c r="N857" s="3" t="s">
        <v>50</v>
      </c>
      <c r="O857" s="5"/>
      <c r="P857" s="3" t="s">
        <v>22</v>
      </c>
      <c r="Q857" s="7"/>
      <c r="R857" s="7"/>
    </row>
    <row r="858" spans="1:18" ht="76.5" x14ac:dyDescent="0.25">
      <c r="A858" s="3" t="s">
        <v>18</v>
      </c>
      <c r="B858" s="3">
        <v>2013</v>
      </c>
      <c r="C858" s="3" t="s">
        <v>19</v>
      </c>
      <c r="D858" s="3" t="str">
        <f>"862 / 2013"</f>
        <v>862 / 2013</v>
      </c>
      <c r="E858" s="4">
        <v>41626</v>
      </c>
      <c r="F858" s="3" t="s">
        <v>1917</v>
      </c>
      <c r="G858" s="5"/>
      <c r="H858" s="3" t="s">
        <v>1918</v>
      </c>
      <c r="I858" s="3" t="str">
        <f t="shared" si="64"/>
        <v>32 / 18-12-2013</v>
      </c>
      <c r="J858" s="4">
        <v>41626</v>
      </c>
      <c r="K858" s="6">
        <v>0.83333333333333337</v>
      </c>
      <c r="L858" s="3">
        <v>12</v>
      </c>
      <c r="M858" s="3" t="s">
        <v>352</v>
      </c>
      <c r="N858" s="3" t="s">
        <v>352</v>
      </c>
      <c r="O858" s="5"/>
      <c r="P858" s="3" t="s">
        <v>22</v>
      </c>
      <c r="Q858" s="7"/>
      <c r="R858" s="7"/>
    </row>
    <row r="859" spans="1:18" ht="76.5" x14ac:dyDescent="0.25">
      <c r="A859" s="3" t="s">
        <v>18</v>
      </c>
      <c r="B859" s="3">
        <v>2013</v>
      </c>
      <c r="C859" s="3" t="s">
        <v>19</v>
      </c>
      <c r="D859" s="3" t="str">
        <f>"863 / 2013"</f>
        <v>863 / 2013</v>
      </c>
      <c r="E859" s="4">
        <v>41626</v>
      </c>
      <c r="F859" s="3" t="s">
        <v>1919</v>
      </c>
      <c r="G859" s="5"/>
      <c r="H859" s="3" t="s">
        <v>1920</v>
      </c>
      <c r="I859" s="3" t="str">
        <f t="shared" si="64"/>
        <v>32 / 18-12-2013</v>
      </c>
      <c r="J859" s="4">
        <v>41626</v>
      </c>
      <c r="K859" s="6">
        <v>0.83333333333333337</v>
      </c>
      <c r="L859" s="3">
        <v>13</v>
      </c>
      <c r="M859" s="3" t="s">
        <v>408</v>
      </c>
      <c r="N859" s="3" t="s">
        <v>408</v>
      </c>
      <c r="O859" s="5"/>
      <c r="P859" s="3" t="s">
        <v>22</v>
      </c>
      <c r="Q859" s="7"/>
      <c r="R859" s="7"/>
    </row>
    <row r="860" spans="1:18" ht="63.75" x14ac:dyDescent="0.25">
      <c r="A860" s="3" t="s">
        <v>18</v>
      </c>
      <c r="B860" s="3">
        <v>2013</v>
      </c>
      <c r="C860" s="3" t="s">
        <v>19</v>
      </c>
      <c r="D860" s="3" t="str">
        <f>"864 / 2013"</f>
        <v>864 / 2013</v>
      </c>
      <c r="E860" s="4">
        <v>41635</v>
      </c>
      <c r="F860" s="3" t="s">
        <v>1921</v>
      </c>
      <c r="G860" s="5"/>
      <c r="H860" s="3" t="s">
        <v>1922</v>
      </c>
      <c r="I860" s="3" t="str">
        <f t="shared" si="64"/>
        <v>32 / 18-12-2013</v>
      </c>
      <c r="J860" s="4">
        <v>41626</v>
      </c>
      <c r="K860" s="6">
        <v>0.83333333333333337</v>
      </c>
      <c r="L860" s="3">
        <v>14</v>
      </c>
      <c r="M860" s="5"/>
      <c r="N860" s="5"/>
      <c r="O860" s="5"/>
      <c r="P860" s="3" t="s">
        <v>22</v>
      </c>
      <c r="Q860" s="7"/>
      <c r="R860" s="7"/>
    </row>
    <row r="861" spans="1:18" ht="63.75" x14ac:dyDescent="0.25">
      <c r="A861" s="3" t="s">
        <v>18</v>
      </c>
      <c r="B861" s="3">
        <v>2013</v>
      </c>
      <c r="C861" s="3" t="s">
        <v>19</v>
      </c>
      <c r="D861" s="3" t="str">
        <f>"865 / 2013"</f>
        <v>865 / 2013</v>
      </c>
      <c r="E861" s="4">
        <v>41635</v>
      </c>
      <c r="F861" s="3" t="s">
        <v>1923</v>
      </c>
      <c r="G861" s="5"/>
      <c r="H861" s="3" t="s">
        <v>1924</v>
      </c>
      <c r="I861" s="3" t="str">
        <f t="shared" si="64"/>
        <v>32 / 18-12-2013</v>
      </c>
      <c r="J861" s="4">
        <v>41626</v>
      </c>
      <c r="K861" s="6">
        <v>0.83333333333333337</v>
      </c>
      <c r="L861" s="3">
        <v>14</v>
      </c>
      <c r="M861" s="5"/>
      <c r="N861" s="5"/>
      <c r="O861" s="5"/>
      <c r="P861" s="3" t="s">
        <v>22</v>
      </c>
      <c r="Q861" s="7"/>
      <c r="R861" s="7"/>
    </row>
    <row r="862" spans="1:18" ht="51" x14ac:dyDescent="0.25">
      <c r="A862" s="3" t="s">
        <v>18</v>
      </c>
      <c r="B862" s="3">
        <v>2013</v>
      </c>
      <c r="C862" s="3" t="s">
        <v>19</v>
      </c>
      <c r="D862" s="3" t="str">
        <f>"866 / 2013"</f>
        <v>866 / 2013</v>
      </c>
      <c r="E862" s="4">
        <v>41626</v>
      </c>
      <c r="F862" s="3" t="s">
        <v>1925</v>
      </c>
      <c r="G862" s="5"/>
      <c r="H862" s="3" t="s">
        <v>1926</v>
      </c>
      <c r="I862" s="3" t="str">
        <f t="shared" si="64"/>
        <v>32 / 18-12-2013</v>
      </c>
      <c r="J862" s="4">
        <v>41626</v>
      </c>
      <c r="K862" s="6">
        <v>0.83333333333333337</v>
      </c>
      <c r="L862" s="3">
        <v>15</v>
      </c>
      <c r="M862" s="5"/>
      <c r="N862" s="5"/>
      <c r="O862" s="5"/>
      <c r="P862" s="3" t="s">
        <v>22</v>
      </c>
      <c r="Q862" s="7"/>
      <c r="R862" s="7"/>
    </row>
    <row r="863" spans="1:18" ht="63.75" x14ac:dyDescent="0.25">
      <c r="A863" s="3" t="s">
        <v>18</v>
      </c>
      <c r="B863" s="3">
        <v>2013</v>
      </c>
      <c r="C863" s="3" t="s">
        <v>19</v>
      </c>
      <c r="D863" s="3" t="str">
        <f>"867 / 2013"</f>
        <v>867 / 2013</v>
      </c>
      <c r="E863" s="4">
        <v>41631</v>
      </c>
      <c r="F863" s="3" t="s">
        <v>1927</v>
      </c>
      <c r="G863" s="5"/>
      <c r="H863" s="3" t="s">
        <v>1928</v>
      </c>
      <c r="I863" s="3" t="str">
        <f t="shared" si="64"/>
        <v>32 / 18-12-2013</v>
      </c>
      <c r="J863" s="4">
        <v>41626</v>
      </c>
      <c r="K863" s="6">
        <v>0.83333333333333337</v>
      </c>
      <c r="L863" s="3">
        <v>16</v>
      </c>
      <c r="M863" s="3" t="s">
        <v>324</v>
      </c>
      <c r="N863" s="3" t="s">
        <v>324</v>
      </c>
      <c r="O863" s="5"/>
      <c r="P863" s="3" t="s">
        <v>22</v>
      </c>
      <c r="Q863" s="7"/>
      <c r="R863" s="7"/>
    </row>
    <row r="864" spans="1:18" ht="127.5" x14ac:dyDescent="0.25">
      <c r="A864" s="3" t="s">
        <v>18</v>
      </c>
      <c r="B864" s="3">
        <v>2013</v>
      </c>
      <c r="C864" s="3" t="s">
        <v>19</v>
      </c>
      <c r="D864" s="3" t="str">
        <f>"868 / 2013"</f>
        <v>868 / 2013</v>
      </c>
      <c r="E864" s="4">
        <v>41626</v>
      </c>
      <c r="F864" s="3" t="s">
        <v>1929</v>
      </c>
      <c r="G864" s="5"/>
      <c r="H864" s="3" t="s">
        <v>1930</v>
      </c>
      <c r="I864" s="3" t="str">
        <f t="shared" si="64"/>
        <v>32 / 18-12-2013</v>
      </c>
      <c r="J864" s="4">
        <v>41626</v>
      </c>
      <c r="K864" s="6">
        <v>0.83333333333333337</v>
      </c>
      <c r="L864" s="3">
        <v>17</v>
      </c>
      <c r="M864" s="3" t="s">
        <v>324</v>
      </c>
      <c r="N864" s="3" t="s">
        <v>324</v>
      </c>
      <c r="O864" s="5"/>
      <c r="P864" s="3" t="s">
        <v>22</v>
      </c>
      <c r="Q864" s="7"/>
      <c r="R864" s="7"/>
    </row>
    <row r="865" spans="1:18" ht="76.5" x14ac:dyDescent="0.25">
      <c r="A865" s="3" t="s">
        <v>18</v>
      </c>
      <c r="B865" s="3">
        <v>2013</v>
      </c>
      <c r="C865" s="3" t="s">
        <v>19</v>
      </c>
      <c r="D865" s="3" t="str">
        <f>"87/2013"</f>
        <v>87/2013</v>
      </c>
      <c r="E865" s="4">
        <v>41344</v>
      </c>
      <c r="F865" s="3" t="s">
        <v>1931</v>
      </c>
      <c r="G865" s="5"/>
      <c r="H865" s="3" t="s">
        <v>1932</v>
      </c>
      <c r="I865" s="3" t="str">
        <f>"6/06-03-2013"</f>
        <v>6/06-03-2013</v>
      </c>
      <c r="J865" s="4">
        <v>41339</v>
      </c>
      <c r="K865" s="6">
        <v>0.79166666666666663</v>
      </c>
      <c r="L865" s="3">
        <v>2</v>
      </c>
      <c r="M865" s="3" t="s">
        <v>256</v>
      </c>
      <c r="N865" s="3" t="s">
        <v>256</v>
      </c>
      <c r="O865" s="5"/>
      <c r="P865" s="3" t="s">
        <v>22</v>
      </c>
      <c r="Q865" s="7"/>
      <c r="R865" s="7"/>
    </row>
    <row r="866" spans="1:18" ht="76.5" x14ac:dyDescent="0.25">
      <c r="A866" s="3" t="s">
        <v>18</v>
      </c>
      <c r="B866" s="3">
        <v>2013</v>
      </c>
      <c r="C866" s="3" t="s">
        <v>19</v>
      </c>
      <c r="D866" s="3" t="str">
        <f>"870 / 2013"</f>
        <v>870 / 2013</v>
      </c>
      <c r="E866" s="4">
        <v>41628</v>
      </c>
      <c r="F866" s="3" t="s">
        <v>1933</v>
      </c>
      <c r="G866" s="5"/>
      <c r="H866" s="3" t="s">
        <v>1934</v>
      </c>
      <c r="I866" s="3" t="str">
        <f t="shared" ref="I866:I877" si="65">"32 / 18-12-2013"</f>
        <v>32 / 18-12-2013</v>
      </c>
      <c r="J866" s="4">
        <v>41626</v>
      </c>
      <c r="K866" s="6">
        <v>0.83333333333333337</v>
      </c>
      <c r="L866" s="3">
        <v>18</v>
      </c>
      <c r="M866" s="3" t="s">
        <v>126</v>
      </c>
      <c r="N866" s="3" t="s">
        <v>126</v>
      </c>
      <c r="O866" s="5"/>
      <c r="P866" s="3" t="s">
        <v>22</v>
      </c>
      <c r="Q866" s="7"/>
      <c r="R866" s="7"/>
    </row>
    <row r="867" spans="1:18" ht="76.5" x14ac:dyDescent="0.25">
      <c r="A867" s="3" t="s">
        <v>18</v>
      </c>
      <c r="B867" s="3">
        <v>2013</v>
      </c>
      <c r="C867" s="3" t="s">
        <v>19</v>
      </c>
      <c r="D867" s="3" t="str">
        <f>"870 α/ 2013"</f>
        <v>870 α/ 2013</v>
      </c>
      <c r="E867" s="4">
        <v>41628</v>
      </c>
      <c r="F867" s="3" t="s">
        <v>1935</v>
      </c>
      <c r="G867" s="5"/>
      <c r="H867" s="3" t="s">
        <v>1936</v>
      </c>
      <c r="I867" s="3" t="str">
        <f t="shared" si="65"/>
        <v>32 / 18-12-2013</v>
      </c>
      <c r="J867" s="4">
        <v>41626</v>
      </c>
      <c r="K867" s="6">
        <v>0.83333333333333337</v>
      </c>
      <c r="L867" s="3">
        <v>18</v>
      </c>
      <c r="M867" s="3" t="s">
        <v>126</v>
      </c>
      <c r="N867" s="3" t="s">
        <v>126</v>
      </c>
      <c r="O867" s="5"/>
      <c r="P867" s="3" t="s">
        <v>22</v>
      </c>
      <c r="Q867" s="7"/>
      <c r="R867" s="7"/>
    </row>
    <row r="868" spans="1:18" ht="102" x14ac:dyDescent="0.25">
      <c r="A868" s="3" t="s">
        <v>18</v>
      </c>
      <c r="B868" s="3">
        <v>2013</v>
      </c>
      <c r="C868" s="3" t="s">
        <v>19</v>
      </c>
      <c r="D868" s="3" t="str">
        <f>"870 β/ 2013"</f>
        <v>870 β/ 2013</v>
      </c>
      <c r="E868" s="4">
        <v>41631</v>
      </c>
      <c r="F868" s="3" t="s">
        <v>1937</v>
      </c>
      <c r="G868" s="5"/>
      <c r="H868" s="3" t="s">
        <v>1938</v>
      </c>
      <c r="I868" s="3" t="str">
        <f t="shared" si="65"/>
        <v>32 / 18-12-2013</v>
      </c>
      <c r="J868" s="4">
        <v>41626</v>
      </c>
      <c r="K868" s="6">
        <v>0.83333333333333337</v>
      </c>
      <c r="L868" s="3">
        <v>18</v>
      </c>
      <c r="M868" s="3" t="s">
        <v>126</v>
      </c>
      <c r="N868" s="3" t="s">
        <v>126</v>
      </c>
      <c r="O868" s="5"/>
      <c r="P868" s="3" t="s">
        <v>22</v>
      </c>
      <c r="Q868" s="7"/>
      <c r="R868" s="7"/>
    </row>
    <row r="869" spans="1:18" ht="76.5" x14ac:dyDescent="0.25">
      <c r="A869" s="3" t="s">
        <v>18</v>
      </c>
      <c r="B869" s="3">
        <v>2013</v>
      </c>
      <c r="C869" s="3" t="s">
        <v>19</v>
      </c>
      <c r="D869" s="3" t="str">
        <f>"871 / 2013"</f>
        <v>871 / 2013</v>
      </c>
      <c r="E869" s="4">
        <v>41628</v>
      </c>
      <c r="F869" s="3" t="s">
        <v>1939</v>
      </c>
      <c r="G869" s="5"/>
      <c r="H869" s="3" t="s">
        <v>1940</v>
      </c>
      <c r="I869" s="3" t="str">
        <f t="shared" si="65"/>
        <v>32 / 18-12-2013</v>
      </c>
      <c r="J869" s="4">
        <v>41626</v>
      </c>
      <c r="K869" s="6">
        <v>0.83333333333333337</v>
      </c>
      <c r="L869" s="3">
        <v>18</v>
      </c>
      <c r="M869" s="3" t="s">
        <v>126</v>
      </c>
      <c r="N869" s="3" t="s">
        <v>126</v>
      </c>
      <c r="O869" s="5"/>
      <c r="P869" s="3" t="s">
        <v>22</v>
      </c>
      <c r="Q869" s="7"/>
      <c r="R869" s="7"/>
    </row>
    <row r="870" spans="1:18" ht="89.25" x14ac:dyDescent="0.25">
      <c r="A870" s="3" t="s">
        <v>18</v>
      </c>
      <c r="B870" s="3">
        <v>2013</v>
      </c>
      <c r="C870" s="3" t="s">
        <v>19</v>
      </c>
      <c r="D870" s="3" t="str">
        <f>"872 / 2013"</f>
        <v>872 / 2013</v>
      </c>
      <c r="E870" s="4">
        <v>41628</v>
      </c>
      <c r="F870" s="3" t="s">
        <v>1941</v>
      </c>
      <c r="G870" s="5"/>
      <c r="H870" s="3" t="s">
        <v>1942</v>
      </c>
      <c r="I870" s="3" t="str">
        <f t="shared" si="65"/>
        <v>32 / 18-12-2013</v>
      </c>
      <c r="J870" s="4">
        <v>41626</v>
      </c>
      <c r="K870" s="6">
        <v>0.83333333333333337</v>
      </c>
      <c r="L870" s="3">
        <v>18</v>
      </c>
      <c r="M870" s="3" t="s">
        <v>126</v>
      </c>
      <c r="N870" s="3" t="s">
        <v>126</v>
      </c>
      <c r="O870" s="5"/>
      <c r="P870" s="3" t="s">
        <v>22</v>
      </c>
      <c r="Q870" s="7"/>
      <c r="R870" s="7"/>
    </row>
    <row r="871" spans="1:18" ht="89.25" x14ac:dyDescent="0.25">
      <c r="A871" s="3" t="s">
        <v>18</v>
      </c>
      <c r="B871" s="3">
        <v>2013</v>
      </c>
      <c r="C871" s="3" t="s">
        <v>19</v>
      </c>
      <c r="D871" s="3" t="str">
        <f>"873 / 2013"</f>
        <v>873 / 2013</v>
      </c>
      <c r="E871" s="4">
        <v>41628</v>
      </c>
      <c r="F871" s="3" t="s">
        <v>1943</v>
      </c>
      <c r="G871" s="5"/>
      <c r="H871" s="3" t="s">
        <v>1944</v>
      </c>
      <c r="I871" s="3" t="str">
        <f t="shared" si="65"/>
        <v>32 / 18-12-2013</v>
      </c>
      <c r="J871" s="4">
        <v>41626</v>
      </c>
      <c r="K871" s="6">
        <v>0.83333333333333337</v>
      </c>
      <c r="L871" s="3">
        <v>18</v>
      </c>
      <c r="M871" s="3" t="s">
        <v>126</v>
      </c>
      <c r="N871" s="3" t="s">
        <v>126</v>
      </c>
      <c r="O871" s="5"/>
      <c r="P871" s="3" t="s">
        <v>22</v>
      </c>
      <c r="Q871" s="7"/>
      <c r="R871" s="7"/>
    </row>
    <row r="872" spans="1:18" ht="102" x14ac:dyDescent="0.25">
      <c r="A872" s="3" t="s">
        <v>18</v>
      </c>
      <c r="B872" s="3">
        <v>2013</v>
      </c>
      <c r="C872" s="3" t="s">
        <v>19</v>
      </c>
      <c r="D872" s="3" t="str">
        <f>"874 / 2013"</f>
        <v>874 / 2013</v>
      </c>
      <c r="E872" s="4">
        <v>41628</v>
      </c>
      <c r="F872" s="3" t="s">
        <v>1945</v>
      </c>
      <c r="G872" s="5"/>
      <c r="H872" s="3" t="s">
        <v>1946</v>
      </c>
      <c r="I872" s="3" t="str">
        <f t="shared" si="65"/>
        <v>32 / 18-12-2013</v>
      </c>
      <c r="J872" s="4">
        <v>41626</v>
      </c>
      <c r="K872" s="6">
        <v>0.83333333333333337</v>
      </c>
      <c r="L872" s="3">
        <v>18</v>
      </c>
      <c r="M872" s="3" t="s">
        <v>126</v>
      </c>
      <c r="N872" s="3" t="s">
        <v>126</v>
      </c>
      <c r="O872" s="5"/>
      <c r="P872" s="3" t="s">
        <v>22</v>
      </c>
      <c r="Q872" s="7"/>
      <c r="R872" s="7"/>
    </row>
    <row r="873" spans="1:18" ht="76.5" x14ac:dyDescent="0.25">
      <c r="A873" s="3" t="s">
        <v>18</v>
      </c>
      <c r="B873" s="3">
        <v>2013</v>
      </c>
      <c r="C873" s="3" t="s">
        <v>19</v>
      </c>
      <c r="D873" s="3" t="str">
        <f>"875 / 2013"</f>
        <v>875 / 2013</v>
      </c>
      <c r="E873" s="4">
        <v>41628</v>
      </c>
      <c r="F873" s="3" t="s">
        <v>1947</v>
      </c>
      <c r="G873" s="5"/>
      <c r="H873" s="3" t="s">
        <v>1948</v>
      </c>
      <c r="I873" s="3" t="str">
        <f t="shared" si="65"/>
        <v>32 / 18-12-2013</v>
      </c>
      <c r="J873" s="4">
        <v>41626</v>
      </c>
      <c r="K873" s="6">
        <v>0.83333333333333337</v>
      </c>
      <c r="L873" s="3">
        <v>18</v>
      </c>
      <c r="M873" s="3" t="s">
        <v>126</v>
      </c>
      <c r="N873" s="3" t="s">
        <v>126</v>
      </c>
      <c r="O873" s="5"/>
      <c r="P873" s="3" t="s">
        <v>22</v>
      </c>
      <c r="Q873" s="7"/>
      <c r="R873" s="7"/>
    </row>
    <row r="874" spans="1:18" ht="114.75" x14ac:dyDescent="0.25">
      <c r="A874" s="3" t="s">
        <v>18</v>
      </c>
      <c r="B874" s="3">
        <v>2013</v>
      </c>
      <c r="C874" s="3" t="s">
        <v>19</v>
      </c>
      <c r="D874" s="3" t="str">
        <f>"876 / 2013"</f>
        <v>876 / 2013</v>
      </c>
      <c r="E874" s="4">
        <v>41628</v>
      </c>
      <c r="F874" s="3" t="s">
        <v>1949</v>
      </c>
      <c r="G874" s="5"/>
      <c r="H874" s="3" t="s">
        <v>1950</v>
      </c>
      <c r="I874" s="3" t="str">
        <f t="shared" si="65"/>
        <v>32 / 18-12-2013</v>
      </c>
      <c r="J874" s="4">
        <v>41626</v>
      </c>
      <c r="K874" s="6">
        <v>0.83333333333333337</v>
      </c>
      <c r="L874" s="3">
        <v>18</v>
      </c>
      <c r="M874" s="3" t="s">
        <v>126</v>
      </c>
      <c r="N874" s="3" t="s">
        <v>126</v>
      </c>
      <c r="O874" s="5"/>
      <c r="P874" s="3" t="s">
        <v>22</v>
      </c>
      <c r="Q874" s="7"/>
      <c r="R874" s="7"/>
    </row>
    <row r="875" spans="1:18" ht="114.75" x14ac:dyDescent="0.25">
      <c r="A875" s="3" t="s">
        <v>18</v>
      </c>
      <c r="B875" s="3">
        <v>2013</v>
      </c>
      <c r="C875" s="3" t="s">
        <v>19</v>
      </c>
      <c r="D875" s="3" t="str">
        <f>"877 / 2013"</f>
        <v>877 / 2013</v>
      </c>
      <c r="E875" s="4">
        <v>41628</v>
      </c>
      <c r="F875" s="3" t="s">
        <v>1951</v>
      </c>
      <c r="G875" s="5"/>
      <c r="H875" s="3" t="s">
        <v>1952</v>
      </c>
      <c r="I875" s="3" t="str">
        <f t="shared" si="65"/>
        <v>32 / 18-12-2013</v>
      </c>
      <c r="J875" s="4">
        <v>41626</v>
      </c>
      <c r="K875" s="6">
        <v>0.83333333333333337</v>
      </c>
      <c r="L875" s="3">
        <v>18</v>
      </c>
      <c r="M875" s="3" t="s">
        <v>126</v>
      </c>
      <c r="N875" s="3" t="s">
        <v>126</v>
      </c>
      <c r="O875" s="5"/>
      <c r="P875" s="3" t="s">
        <v>22</v>
      </c>
      <c r="Q875" s="7"/>
      <c r="R875" s="7"/>
    </row>
    <row r="876" spans="1:18" ht="76.5" x14ac:dyDescent="0.25">
      <c r="A876" s="3" t="s">
        <v>18</v>
      </c>
      <c r="B876" s="3">
        <v>2013</v>
      </c>
      <c r="C876" s="3" t="s">
        <v>19</v>
      </c>
      <c r="D876" s="3" t="str">
        <f>"878 / 2013"</f>
        <v>878 / 2013</v>
      </c>
      <c r="E876" s="4">
        <v>41628</v>
      </c>
      <c r="F876" s="3" t="s">
        <v>1953</v>
      </c>
      <c r="G876" s="5"/>
      <c r="H876" s="3" t="s">
        <v>1954</v>
      </c>
      <c r="I876" s="3" t="str">
        <f t="shared" si="65"/>
        <v>32 / 18-12-2013</v>
      </c>
      <c r="J876" s="4">
        <v>41626</v>
      </c>
      <c r="K876" s="6">
        <v>0.83333333333333337</v>
      </c>
      <c r="L876" s="3">
        <v>18</v>
      </c>
      <c r="M876" s="3" t="s">
        <v>126</v>
      </c>
      <c r="N876" s="3" t="s">
        <v>126</v>
      </c>
      <c r="O876" s="5"/>
      <c r="P876" s="3" t="s">
        <v>22</v>
      </c>
      <c r="Q876" s="7"/>
      <c r="R876" s="7"/>
    </row>
    <row r="877" spans="1:18" ht="89.25" x14ac:dyDescent="0.25">
      <c r="A877" s="3" t="s">
        <v>18</v>
      </c>
      <c r="B877" s="3">
        <v>2013</v>
      </c>
      <c r="C877" s="3" t="s">
        <v>19</v>
      </c>
      <c r="D877" s="3" t="str">
        <f>"879 / 2013"</f>
        <v>879 / 2013</v>
      </c>
      <c r="E877" s="4">
        <v>41628</v>
      </c>
      <c r="F877" s="3" t="s">
        <v>1955</v>
      </c>
      <c r="G877" s="5"/>
      <c r="H877" s="3" t="s">
        <v>1956</v>
      </c>
      <c r="I877" s="3" t="str">
        <f t="shared" si="65"/>
        <v>32 / 18-12-2013</v>
      </c>
      <c r="J877" s="4">
        <v>41626</v>
      </c>
      <c r="K877" s="6">
        <v>0.83333333333333337</v>
      </c>
      <c r="L877" s="3">
        <v>18</v>
      </c>
      <c r="M877" s="3" t="s">
        <v>126</v>
      </c>
      <c r="N877" s="3" t="s">
        <v>126</v>
      </c>
      <c r="O877" s="5"/>
      <c r="P877" s="3" t="s">
        <v>22</v>
      </c>
      <c r="Q877" s="7"/>
      <c r="R877" s="7"/>
    </row>
    <row r="878" spans="1:18" ht="63.75" x14ac:dyDescent="0.25">
      <c r="A878" s="3" t="s">
        <v>18</v>
      </c>
      <c r="B878" s="3">
        <v>2013</v>
      </c>
      <c r="C878" s="3" t="s">
        <v>19</v>
      </c>
      <c r="D878" s="3" t="str">
        <f>"88/2013"</f>
        <v>88/2013</v>
      </c>
      <c r="E878" s="4">
        <v>41355</v>
      </c>
      <c r="F878" s="3" t="s">
        <v>1957</v>
      </c>
      <c r="G878" s="5"/>
      <c r="H878" s="3" t="s">
        <v>1958</v>
      </c>
      <c r="I878" s="3" t="str">
        <f>"6/06-03-2013"</f>
        <v>6/06-03-2013</v>
      </c>
      <c r="J878" s="4">
        <v>41339</v>
      </c>
      <c r="K878" s="6">
        <v>0.79166666666666663</v>
      </c>
      <c r="L878" s="3">
        <v>3</v>
      </c>
      <c r="M878" s="3" t="s">
        <v>53</v>
      </c>
      <c r="N878" s="3" t="s">
        <v>53</v>
      </c>
      <c r="O878" s="5"/>
      <c r="P878" s="3" t="s">
        <v>22</v>
      </c>
      <c r="Q878" s="7"/>
      <c r="R878" s="7"/>
    </row>
    <row r="879" spans="1:18" ht="76.5" x14ac:dyDescent="0.25">
      <c r="A879" s="3" t="s">
        <v>18</v>
      </c>
      <c r="B879" s="3">
        <v>2013</v>
      </c>
      <c r="C879" s="3" t="s">
        <v>19</v>
      </c>
      <c r="D879" s="3" t="str">
        <f>"880 / 2013"</f>
        <v>880 / 2013</v>
      </c>
      <c r="E879" s="4">
        <v>41628</v>
      </c>
      <c r="F879" s="3" t="s">
        <v>1959</v>
      </c>
      <c r="G879" s="5"/>
      <c r="H879" s="3" t="s">
        <v>1960</v>
      </c>
      <c r="I879" s="3" t="str">
        <f t="shared" ref="I879:I888" si="66">"32 / 18-12-2013"</f>
        <v>32 / 18-12-2013</v>
      </c>
      <c r="J879" s="4">
        <v>41626</v>
      </c>
      <c r="K879" s="6">
        <v>0.83333333333333337</v>
      </c>
      <c r="L879" s="3">
        <v>18</v>
      </c>
      <c r="M879" s="3" t="s">
        <v>126</v>
      </c>
      <c r="N879" s="3" t="s">
        <v>126</v>
      </c>
      <c r="O879" s="5"/>
      <c r="P879" s="3" t="s">
        <v>22</v>
      </c>
      <c r="Q879" s="7"/>
      <c r="R879" s="7"/>
    </row>
    <row r="880" spans="1:18" ht="76.5" x14ac:dyDescent="0.25">
      <c r="A880" s="3" t="s">
        <v>18</v>
      </c>
      <c r="B880" s="3">
        <v>2013</v>
      </c>
      <c r="C880" s="3" t="s">
        <v>19</v>
      </c>
      <c r="D880" s="3" t="str">
        <f>"881 / 2013"</f>
        <v>881 / 2013</v>
      </c>
      <c r="E880" s="4">
        <v>41626</v>
      </c>
      <c r="F880" s="3" t="s">
        <v>1961</v>
      </c>
      <c r="G880" s="5"/>
      <c r="H880" s="3" t="s">
        <v>1962</v>
      </c>
      <c r="I880" s="3" t="str">
        <f t="shared" si="66"/>
        <v>32 / 18-12-2013</v>
      </c>
      <c r="J880" s="4">
        <v>41626</v>
      </c>
      <c r="K880" s="6">
        <v>0.83333333333333337</v>
      </c>
      <c r="L880" s="3">
        <v>19</v>
      </c>
      <c r="M880" s="3" t="s">
        <v>1963</v>
      </c>
      <c r="N880" s="3" t="s">
        <v>1963</v>
      </c>
      <c r="O880" s="5"/>
      <c r="P880" s="3" t="s">
        <v>22</v>
      </c>
      <c r="Q880" s="7"/>
      <c r="R880" s="7"/>
    </row>
    <row r="881" spans="1:18" ht="63.75" x14ac:dyDescent="0.25">
      <c r="A881" s="3" t="s">
        <v>18</v>
      </c>
      <c r="B881" s="3">
        <v>2013</v>
      </c>
      <c r="C881" s="3" t="s">
        <v>19</v>
      </c>
      <c r="D881" s="3" t="str">
        <f>"882 / 2013"</f>
        <v>882 / 2013</v>
      </c>
      <c r="E881" s="4">
        <v>41626</v>
      </c>
      <c r="F881" s="3" t="s">
        <v>1964</v>
      </c>
      <c r="G881" s="5"/>
      <c r="H881" s="3" t="s">
        <v>1965</v>
      </c>
      <c r="I881" s="3" t="str">
        <f t="shared" si="66"/>
        <v>32 / 18-12-2013</v>
      </c>
      <c r="J881" s="4">
        <v>41626</v>
      </c>
      <c r="K881" s="6">
        <v>0.83333333333333337</v>
      </c>
      <c r="L881" s="3">
        <v>20</v>
      </c>
      <c r="M881" s="3" t="s">
        <v>1966</v>
      </c>
      <c r="N881" s="3" t="s">
        <v>1966</v>
      </c>
      <c r="O881" s="5"/>
      <c r="P881" s="3" t="s">
        <v>22</v>
      </c>
      <c r="Q881" s="7"/>
      <c r="R881" s="7"/>
    </row>
    <row r="882" spans="1:18" ht="51" x14ac:dyDescent="0.25">
      <c r="A882" s="3" t="s">
        <v>18</v>
      </c>
      <c r="B882" s="3">
        <v>2013</v>
      </c>
      <c r="C882" s="3" t="s">
        <v>19</v>
      </c>
      <c r="D882" s="3" t="str">
        <f>"883 / 2013"</f>
        <v>883 / 2013</v>
      </c>
      <c r="E882" s="4">
        <v>41627</v>
      </c>
      <c r="F882" s="3" t="s">
        <v>1967</v>
      </c>
      <c r="G882" s="5"/>
      <c r="H882" s="3" t="s">
        <v>1968</v>
      </c>
      <c r="I882" s="3" t="str">
        <f t="shared" si="66"/>
        <v>32 / 18-12-2013</v>
      </c>
      <c r="J882" s="4">
        <v>41626</v>
      </c>
      <c r="K882" s="6">
        <v>0.83333333333333337</v>
      </c>
      <c r="L882" s="3">
        <v>21</v>
      </c>
      <c r="M882" s="3" t="s">
        <v>132</v>
      </c>
      <c r="N882" s="3" t="s">
        <v>132</v>
      </c>
      <c r="O882" s="5"/>
      <c r="P882" s="3" t="s">
        <v>22</v>
      </c>
      <c r="Q882" s="7"/>
      <c r="R882" s="7"/>
    </row>
    <row r="883" spans="1:18" ht="76.5" x14ac:dyDescent="0.25">
      <c r="A883" s="3" t="s">
        <v>18</v>
      </c>
      <c r="B883" s="3">
        <v>2013</v>
      </c>
      <c r="C883" s="3" t="s">
        <v>19</v>
      </c>
      <c r="D883" s="3" t="str">
        <f>"884 / 2013"</f>
        <v>884 / 2013</v>
      </c>
      <c r="E883" s="4">
        <v>41626</v>
      </c>
      <c r="F883" s="3" t="s">
        <v>1969</v>
      </c>
      <c r="G883" s="5"/>
      <c r="H883" s="3" t="s">
        <v>1970</v>
      </c>
      <c r="I883" s="3" t="str">
        <f t="shared" si="66"/>
        <v>32 / 18-12-2013</v>
      </c>
      <c r="J883" s="4">
        <v>41626</v>
      </c>
      <c r="K883" s="6">
        <v>0.83333333333333337</v>
      </c>
      <c r="L883" s="3">
        <v>22</v>
      </c>
      <c r="M883" s="3" t="s">
        <v>549</v>
      </c>
      <c r="N883" s="3" t="s">
        <v>549</v>
      </c>
      <c r="O883" s="5"/>
      <c r="P883" s="3" t="s">
        <v>22</v>
      </c>
      <c r="Q883" s="7"/>
      <c r="R883" s="7"/>
    </row>
    <row r="884" spans="1:18" ht="38.25" x14ac:dyDescent="0.25">
      <c r="A884" s="3" t="s">
        <v>18</v>
      </c>
      <c r="B884" s="3">
        <v>2013</v>
      </c>
      <c r="C884" s="3" t="s">
        <v>19</v>
      </c>
      <c r="D884" s="3" t="str">
        <f>"885 / 2013"</f>
        <v>885 / 2013</v>
      </c>
      <c r="E884" s="4">
        <v>41627</v>
      </c>
      <c r="F884" s="3" t="s">
        <v>1971</v>
      </c>
      <c r="G884" s="5"/>
      <c r="H884" s="3" t="s">
        <v>1972</v>
      </c>
      <c r="I884" s="3" t="str">
        <f t="shared" si="66"/>
        <v>32 / 18-12-2013</v>
      </c>
      <c r="J884" s="4">
        <v>41626</v>
      </c>
      <c r="K884" s="6">
        <v>0.83333333333333337</v>
      </c>
      <c r="L884" s="3">
        <v>23</v>
      </c>
      <c r="M884" s="3" t="s">
        <v>501</v>
      </c>
      <c r="N884" s="3" t="s">
        <v>501</v>
      </c>
      <c r="O884" s="5"/>
      <c r="P884" s="3" t="s">
        <v>22</v>
      </c>
      <c r="Q884" s="7"/>
      <c r="R884" s="7"/>
    </row>
    <row r="885" spans="1:18" ht="63.75" x14ac:dyDescent="0.25">
      <c r="A885" s="3" t="s">
        <v>18</v>
      </c>
      <c r="B885" s="3">
        <v>2013</v>
      </c>
      <c r="C885" s="3" t="s">
        <v>19</v>
      </c>
      <c r="D885" s="3" t="str">
        <f>"886 / 2013"</f>
        <v>886 / 2013</v>
      </c>
      <c r="E885" s="4">
        <v>41626</v>
      </c>
      <c r="F885" s="3" t="s">
        <v>1973</v>
      </c>
      <c r="G885" s="5"/>
      <c r="H885" s="3" t="s">
        <v>1974</v>
      </c>
      <c r="I885" s="3" t="str">
        <f t="shared" si="66"/>
        <v>32 / 18-12-2013</v>
      </c>
      <c r="J885" s="4">
        <v>41626</v>
      </c>
      <c r="K885" s="6">
        <v>0.83333333333333337</v>
      </c>
      <c r="L885" s="3">
        <v>24</v>
      </c>
      <c r="M885" s="3" t="s">
        <v>1011</v>
      </c>
      <c r="N885" s="3" t="s">
        <v>1011</v>
      </c>
      <c r="O885" s="5"/>
      <c r="P885" s="3" t="s">
        <v>22</v>
      </c>
      <c r="Q885" s="7"/>
      <c r="R885" s="7"/>
    </row>
    <row r="886" spans="1:18" ht="76.5" x14ac:dyDescent="0.25">
      <c r="A886" s="3" t="s">
        <v>18</v>
      </c>
      <c r="B886" s="3">
        <v>2013</v>
      </c>
      <c r="C886" s="3" t="s">
        <v>19</v>
      </c>
      <c r="D886" s="3" t="str">
        <f>"887 / 2013"</f>
        <v>887 / 2013</v>
      </c>
      <c r="E886" s="4">
        <v>41626</v>
      </c>
      <c r="F886" s="3" t="s">
        <v>1975</v>
      </c>
      <c r="G886" s="5"/>
      <c r="H886" s="3" t="s">
        <v>1976</v>
      </c>
      <c r="I886" s="3" t="str">
        <f t="shared" si="66"/>
        <v>32 / 18-12-2013</v>
      </c>
      <c r="J886" s="4">
        <v>41626</v>
      </c>
      <c r="K886" s="6">
        <v>0.83333333333333337</v>
      </c>
      <c r="L886" s="3">
        <v>25</v>
      </c>
      <c r="M886" s="3" t="s">
        <v>552</v>
      </c>
      <c r="N886" s="3" t="s">
        <v>552</v>
      </c>
      <c r="O886" s="5"/>
      <c r="P886" s="3" t="s">
        <v>22</v>
      </c>
      <c r="Q886" s="7"/>
      <c r="R886" s="7"/>
    </row>
    <row r="887" spans="1:18" ht="63.75" x14ac:dyDescent="0.25">
      <c r="A887" s="3" t="s">
        <v>18</v>
      </c>
      <c r="B887" s="3">
        <v>2013</v>
      </c>
      <c r="C887" s="3" t="s">
        <v>19</v>
      </c>
      <c r="D887" s="3" t="str">
        <f>"888 / 2013"</f>
        <v>888 / 2013</v>
      </c>
      <c r="E887" s="4">
        <v>41628</v>
      </c>
      <c r="F887" s="3" t="s">
        <v>1977</v>
      </c>
      <c r="G887" s="5"/>
      <c r="H887" s="3" t="s">
        <v>541</v>
      </c>
      <c r="I887" s="3" t="str">
        <f t="shared" si="66"/>
        <v>32 / 18-12-2013</v>
      </c>
      <c r="J887" s="4">
        <v>41626</v>
      </c>
      <c r="K887" s="6">
        <v>0.83333333333333337</v>
      </c>
      <c r="L887" s="3">
        <v>26</v>
      </c>
      <c r="M887" s="3" t="s">
        <v>542</v>
      </c>
      <c r="N887" s="5"/>
      <c r="O887" s="5"/>
      <c r="P887" s="3" t="s">
        <v>22</v>
      </c>
      <c r="Q887" s="7"/>
      <c r="R887" s="7"/>
    </row>
    <row r="888" spans="1:18" ht="63.75" x14ac:dyDescent="0.25">
      <c r="A888" s="3" t="s">
        <v>18</v>
      </c>
      <c r="B888" s="3">
        <v>2013</v>
      </c>
      <c r="C888" s="3" t="s">
        <v>19</v>
      </c>
      <c r="D888" s="3" t="str">
        <f>"889 / 2013"</f>
        <v>889 / 2013</v>
      </c>
      <c r="E888" s="4">
        <v>41628</v>
      </c>
      <c r="F888" s="3" t="s">
        <v>1978</v>
      </c>
      <c r="G888" s="5"/>
      <c r="H888" s="3" t="s">
        <v>1979</v>
      </c>
      <c r="I888" s="3" t="str">
        <f t="shared" si="66"/>
        <v>32 / 18-12-2013</v>
      </c>
      <c r="J888" s="4">
        <v>41626</v>
      </c>
      <c r="K888" s="6">
        <v>0.83333333333333337</v>
      </c>
      <c r="L888" s="3">
        <v>26</v>
      </c>
      <c r="M888" s="3" t="s">
        <v>542</v>
      </c>
      <c r="N888" s="5"/>
      <c r="O888" s="5"/>
      <c r="P888" s="3" t="s">
        <v>22</v>
      </c>
      <c r="Q888" s="7"/>
      <c r="R888" s="7"/>
    </row>
    <row r="889" spans="1:18" ht="102" x14ac:dyDescent="0.25">
      <c r="A889" s="3" t="s">
        <v>18</v>
      </c>
      <c r="B889" s="3">
        <v>2013</v>
      </c>
      <c r="C889" s="3" t="s">
        <v>19</v>
      </c>
      <c r="D889" s="3" t="str">
        <f>"89/2013"</f>
        <v>89/2013</v>
      </c>
      <c r="E889" s="4">
        <v>41366</v>
      </c>
      <c r="F889" s="3" t="s">
        <v>1980</v>
      </c>
      <c r="G889" s="5"/>
      <c r="H889" s="3" t="s">
        <v>1981</v>
      </c>
      <c r="I889" s="3" t="str">
        <f>"6/06-03-2013"</f>
        <v>6/06-03-2013</v>
      </c>
      <c r="J889" s="4">
        <v>41339</v>
      </c>
      <c r="K889" s="6">
        <v>0.79166666666666663</v>
      </c>
      <c r="L889" s="3">
        <v>4</v>
      </c>
      <c r="M889" s="3" t="s">
        <v>1982</v>
      </c>
      <c r="N889" s="3" t="s">
        <v>1982</v>
      </c>
      <c r="O889" s="5"/>
      <c r="P889" s="3" t="s">
        <v>22</v>
      </c>
      <c r="Q889" s="7"/>
      <c r="R889" s="7"/>
    </row>
    <row r="890" spans="1:18" ht="63.75" x14ac:dyDescent="0.25">
      <c r="A890" s="3" t="s">
        <v>18</v>
      </c>
      <c r="B890" s="3">
        <v>2013</v>
      </c>
      <c r="C890" s="3" t="s">
        <v>19</v>
      </c>
      <c r="D890" s="3" t="str">
        <f>"890 / 2013"</f>
        <v>890 / 2013</v>
      </c>
      <c r="E890" s="4">
        <v>41628</v>
      </c>
      <c r="F890" s="3" t="s">
        <v>1983</v>
      </c>
      <c r="G890" s="5"/>
      <c r="H890" s="3" t="s">
        <v>1984</v>
      </c>
      <c r="I890" s="3" t="str">
        <f t="shared" ref="I890:I899" si="67">"32 / 18-12-2013"</f>
        <v>32 / 18-12-2013</v>
      </c>
      <c r="J890" s="4">
        <v>41626</v>
      </c>
      <c r="K890" s="6">
        <v>0.83333333333333337</v>
      </c>
      <c r="L890" s="3">
        <v>26</v>
      </c>
      <c r="M890" s="3" t="s">
        <v>542</v>
      </c>
      <c r="N890" s="5"/>
      <c r="O890" s="5"/>
      <c r="P890" s="3" t="s">
        <v>22</v>
      </c>
      <c r="Q890" s="7"/>
      <c r="R890" s="7"/>
    </row>
    <row r="891" spans="1:18" ht="51" x14ac:dyDescent="0.25">
      <c r="A891" s="3" t="s">
        <v>18</v>
      </c>
      <c r="B891" s="3">
        <v>2013</v>
      </c>
      <c r="C891" s="3" t="s">
        <v>19</v>
      </c>
      <c r="D891" s="3" t="str">
        <f>"891 / 2013"</f>
        <v>891 / 2013</v>
      </c>
      <c r="E891" s="4">
        <v>41632</v>
      </c>
      <c r="F891" s="3" t="s">
        <v>1985</v>
      </c>
      <c r="G891" s="5"/>
      <c r="H891" s="3" t="s">
        <v>1986</v>
      </c>
      <c r="I891" s="3" t="str">
        <f t="shared" si="67"/>
        <v>32 / 18-12-2013</v>
      </c>
      <c r="J891" s="4">
        <v>41626</v>
      </c>
      <c r="K891" s="6">
        <v>0.83333333333333337</v>
      </c>
      <c r="L891" s="3">
        <v>27</v>
      </c>
      <c r="M891" s="3" t="s">
        <v>56</v>
      </c>
      <c r="N891" s="3" t="s">
        <v>56</v>
      </c>
      <c r="O891" s="5"/>
      <c r="P891" s="3" t="s">
        <v>22</v>
      </c>
      <c r="Q891" s="7"/>
      <c r="R891" s="7"/>
    </row>
    <row r="892" spans="1:18" ht="51" x14ac:dyDescent="0.25">
      <c r="A892" s="3" t="s">
        <v>18</v>
      </c>
      <c r="B892" s="3">
        <v>2013</v>
      </c>
      <c r="C892" s="3" t="s">
        <v>19</v>
      </c>
      <c r="D892" s="3" t="str">
        <f>"892 / 2013"</f>
        <v>892 / 2013</v>
      </c>
      <c r="E892" s="4">
        <v>41632</v>
      </c>
      <c r="F892" s="3" t="s">
        <v>1987</v>
      </c>
      <c r="G892" s="5"/>
      <c r="H892" s="3" t="s">
        <v>1988</v>
      </c>
      <c r="I892" s="3" t="str">
        <f t="shared" si="67"/>
        <v>32 / 18-12-2013</v>
      </c>
      <c r="J892" s="4">
        <v>41626</v>
      </c>
      <c r="K892" s="6">
        <v>0.83333333333333337</v>
      </c>
      <c r="L892" s="3">
        <v>27</v>
      </c>
      <c r="M892" s="3" t="s">
        <v>56</v>
      </c>
      <c r="N892" s="3" t="s">
        <v>56</v>
      </c>
      <c r="O892" s="5"/>
      <c r="P892" s="3" t="s">
        <v>22</v>
      </c>
      <c r="Q892" s="7"/>
      <c r="R892" s="7"/>
    </row>
    <row r="893" spans="1:18" ht="63.75" x14ac:dyDescent="0.25">
      <c r="A893" s="3" t="s">
        <v>18</v>
      </c>
      <c r="B893" s="3">
        <v>2013</v>
      </c>
      <c r="C893" s="3" t="s">
        <v>19</v>
      </c>
      <c r="D893" s="3" t="str">
        <f>"893 / 2013"</f>
        <v>893 / 2013</v>
      </c>
      <c r="E893" s="4">
        <v>41632</v>
      </c>
      <c r="F893" s="3" t="s">
        <v>1989</v>
      </c>
      <c r="G893" s="5"/>
      <c r="H893" s="3" t="s">
        <v>1990</v>
      </c>
      <c r="I893" s="3" t="str">
        <f t="shared" si="67"/>
        <v>32 / 18-12-2013</v>
      </c>
      <c r="J893" s="4">
        <v>41626</v>
      </c>
      <c r="K893" s="6">
        <v>0.83333333333333337</v>
      </c>
      <c r="L893" s="3">
        <v>27</v>
      </c>
      <c r="M893" s="3" t="s">
        <v>56</v>
      </c>
      <c r="N893" s="3" t="s">
        <v>56</v>
      </c>
      <c r="O893" s="5"/>
      <c r="P893" s="3" t="s">
        <v>22</v>
      </c>
      <c r="Q893" s="7"/>
      <c r="R893" s="7"/>
    </row>
    <row r="894" spans="1:18" ht="89.25" x14ac:dyDescent="0.25">
      <c r="A894" s="3" t="s">
        <v>18</v>
      </c>
      <c r="B894" s="3">
        <v>2013</v>
      </c>
      <c r="C894" s="3" t="s">
        <v>19</v>
      </c>
      <c r="D894" s="3" t="str">
        <f>"894 / 2013"</f>
        <v>894 / 2013</v>
      </c>
      <c r="E894" s="4">
        <v>41627</v>
      </c>
      <c r="F894" s="3" t="s">
        <v>1991</v>
      </c>
      <c r="G894" s="5"/>
      <c r="H894" s="3" t="s">
        <v>1992</v>
      </c>
      <c r="I894" s="3" t="str">
        <f t="shared" si="67"/>
        <v>32 / 18-12-2013</v>
      </c>
      <c r="J894" s="4">
        <v>41626</v>
      </c>
      <c r="K894" s="6">
        <v>0.83333333333333337</v>
      </c>
      <c r="L894" s="3">
        <v>28</v>
      </c>
      <c r="M894" s="3" t="s">
        <v>56</v>
      </c>
      <c r="N894" s="3" t="s">
        <v>56</v>
      </c>
      <c r="O894" s="5"/>
      <c r="P894" s="3" t="s">
        <v>22</v>
      </c>
      <c r="Q894" s="7"/>
      <c r="R894" s="7"/>
    </row>
    <row r="895" spans="1:18" ht="51" x14ac:dyDescent="0.25">
      <c r="A895" s="3" t="s">
        <v>18</v>
      </c>
      <c r="B895" s="3">
        <v>2013</v>
      </c>
      <c r="C895" s="3" t="s">
        <v>19</v>
      </c>
      <c r="D895" s="3" t="str">
        <f>"895 / 2013"</f>
        <v>895 / 2013</v>
      </c>
      <c r="E895" s="4">
        <v>41627</v>
      </c>
      <c r="F895" s="3" t="s">
        <v>1993</v>
      </c>
      <c r="G895" s="5"/>
      <c r="H895" s="3" t="s">
        <v>1994</v>
      </c>
      <c r="I895" s="3" t="str">
        <f t="shared" si="67"/>
        <v>32 / 18-12-2013</v>
      </c>
      <c r="J895" s="4">
        <v>41626</v>
      </c>
      <c r="K895" s="6">
        <v>0.83333333333333337</v>
      </c>
      <c r="L895" s="3">
        <v>28</v>
      </c>
      <c r="M895" s="3" t="s">
        <v>56</v>
      </c>
      <c r="N895" s="3" t="s">
        <v>56</v>
      </c>
      <c r="O895" s="5"/>
      <c r="P895" s="3" t="s">
        <v>22</v>
      </c>
      <c r="Q895" s="7"/>
      <c r="R895" s="7"/>
    </row>
    <row r="896" spans="1:18" ht="51" x14ac:dyDescent="0.25">
      <c r="A896" s="3" t="s">
        <v>18</v>
      </c>
      <c r="B896" s="3">
        <v>2013</v>
      </c>
      <c r="C896" s="3" t="s">
        <v>19</v>
      </c>
      <c r="D896" s="3" t="str">
        <f>"896 / 2013"</f>
        <v>896 / 2013</v>
      </c>
      <c r="E896" s="4">
        <v>41627</v>
      </c>
      <c r="F896" s="3" t="s">
        <v>1995</v>
      </c>
      <c r="G896" s="5"/>
      <c r="H896" s="3" t="s">
        <v>1996</v>
      </c>
      <c r="I896" s="3" t="str">
        <f t="shared" si="67"/>
        <v>32 / 18-12-2013</v>
      </c>
      <c r="J896" s="4">
        <v>41626</v>
      </c>
      <c r="K896" s="6">
        <v>0.83333333333333337</v>
      </c>
      <c r="L896" s="3">
        <v>28</v>
      </c>
      <c r="M896" s="3" t="s">
        <v>56</v>
      </c>
      <c r="N896" s="3" t="s">
        <v>56</v>
      </c>
      <c r="O896" s="5"/>
      <c r="P896" s="3" t="s">
        <v>22</v>
      </c>
      <c r="Q896" s="7"/>
      <c r="R896" s="7"/>
    </row>
    <row r="897" spans="1:18" ht="51" x14ac:dyDescent="0.25">
      <c r="A897" s="3" t="s">
        <v>18</v>
      </c>
      <c r="B897" s="3">
        <v>2013</v>
      </c>
      <c r="C897" s="3" t="s">
        <v>19</v>
      </c>
      <c r="D897" s="3" t="str">
        <f>"897 / 2013"</f>
        <v>897 / 2013</v>
      </c>
      <c r="E897" s="4">
        <v>41627</v>
      </c>
      <c r="F897" s="3" t="s">
        <v>1997</v>
      </c>
      <c r="G897" s="5"/>
      <c r="H897" s="3" t="s">
        <v>1998</v>
      </c>
      <c r="I897" s="3" t="str">
        <f t="shared" si="67"/>
        <v>32 / 18-12-2013</v>
      </c>
      <c r="J897" s="4">
        <v>41626</v>
      </c>
      <c r="K897" s="6">
        <v>0.83333333333333337</v>
      </c>
      <c r="L897" s="3">
        <v>28</v>
      </c>
      <c r="M897" s="3" t="s">
        <v>56</v>
      </c>
      <c r="N897" s="3" t="s">
        <v>56</v>
      </c>
      <c r="O897" s="5"/>
      <c r="P897" s="3" t="s">
        <v>22</v>
      </c>
      <c r="Q897" s="7"/>
      <c r="R897" s="7"/>
    </row>
    <row r="898" spans="1:18" ht="38.25" x14ac:dyDescent="0.25">
      <c r="A898" s="3" t="s">
        <v>18</v>
      </c>
      <c r="B898" s="3">
        <v>2013</v>
      </c>
      <c r="C898" s="3" t="s">
        <v>19</v>
      </c>
      <c r="D898" s="3" t="str">
        <f>"898 / 2013"</f>
        <v>898 / 2013</v>
      </c>
      <c r="E898" s="4">
        <v>41628</v>
      </c>
      <c r="F898" s="3" t="s">
        <v>1999</v>
      </c>
      <c r="G898" s="5"/>
      <c r="H898" s="3" t="s">
        <v>2000</v>
      </c>
      <c r="I898" s="3" t="str">
        <f t="shared" si="67"/>
        <v>32 / 18-12-2013</v>
      </c>
      <c r="J898" s="4">
        <v>41626</v>
      </c>
      <c r="K898" s="6">
        <v>0.83333333333333337</v>
      </c>
      <c r="L898" s="3">
        <v>28</v>
      </c>
      <c r="M898" s="3" t="s">
        <v>56</v>
      </c>
      <c r="N898" s="3" t="s">
        <v>56</v>
      </c>
      <c r="O898" s="5"/>
      <c r="P898" s="3" t="s">
        <v>22</v>
      </c>
      <c r="Q898" s="7"/>
      <c r="R898" s="7"/>
    </row>
    <row r="899" spans="1:18" ht="38.25" x14ac:dyDescent="0.25">
      <c r="A899" s="3" t="s">
        <v>18</v>
      </c>
      <c r="B899" s="3">
        <v>2013</v>
      </c>
      <c r="C899" s="3" t="s">
        <v>19</v>
      </c>
      <c r="D899" s="3" t="str">
        <f>"899 / 2013"</f>
        <v>899 / 2013</v>
      </c>
      <c r="E899" s="4">
        <v>41628</v>
      </c>
      <c r="F899" s="3" t="s">
        <v>2001</v>
      </c>
      <c r="G899" s="5"/>
      <c r="H899" s="3" t="s">
        <v>2002</v>
      </c>
      <c r="I899" s="3" t="str">
        <f t="shared" si="67"/>
        <v>32 / 18-12-2013</v>
      </c>
      <c r="J899" s="4">
        <v>41626</v>
      </c>
      <c r="K899" s="6">
        <v>0.83333333333333337</v>
      </c>
      <c r="L899" s="3">
        <v>28</v>
      </c>
      <c r="M899" s="3" t="s">
        <v>56</v>
      </c>
      <c r="N899" s="3" t="s">
        <v>56</v>
      </c>
      <c r="O899" s="5"/>
      <c r="P899" s="3" t="s">
        <v>22</v>
      </c>
      <c r="Q899" s="7"/>
      <c r="R899" s="7"/>
    </row>
    <row r="900" spans="1:18" ht="38.25" x14ac:dyDescent="0.25">
      <c r="A900" s="3" t="s">
        <v>18</v>
      </c>
      <c r="B900" s="3">
        <v>2013</v>
      </c>
      <c r="C900" s="3" t="s">
        <v>19</v>
      </c>
      <c r="D900" s="3" t="str">
        <f>"90/2013"</f>
        <v>90/2013</v>
      </c>
      <c r="E900" s="4">
        <v>41394</v>
      </c>
      <c r="F900" s="3" t="s">
        <v>2003</v>
      </c>
      <c r="G900" s="5"/>
      <c r="H900" s="3" t="s">
        <v>2004</v>
      </c>
      <c r="I900" s="3" t="str">
        <f>"6/06-03-2013"</f>
        <v>6/06-03-2013</v>
      </c>
      <c r="J900" s="4">
        <v>41339</v>
      </c>
      <c r="K900" s="6">
        <v>0.79166666666666663</v>
      </c>
      <c r="L900" s="3">
        <v>5</v>
      </c>
      <c r="M900" s="5"/>
      <c r="N900" s="5"/>
      <c r="O900" s="5"/>
      <c r="P900" s="3" t="s">
        <v>22</v>
      </c>
      <c r="Q900" s="7"/>
      <c r="R900" s="7"/>
    </row>
    <row r="901" spans="1:18" ht="63.75" x14ac:dyDescent="0.25">
      <c r="A901" s="3" t="s">
        <v>18</v>
      </c>
      <c r="B901" s="3">
        <v>2013</v>
      </c>
      <c r="C901" s="3" t="s">
        <v>19</v>
      </c>
      <c r="D901" s="3" t="str">
        <f>"900 / 2013"</f>
        <v>900 / 2013</v>
      </c>
      <c r="E901" s="4">
        <v>41628</v>
      </c>
      <c r="F901" s="3" t="s">
        <v>2005</v>
      </c>
      <c r="G901" s="5"/>
      <c r="H901" s="3" t="s">
        <v>2006</v>
      </c>
      <c r="I901" s="3" t="str">
        <f t="shared" ref="I901:I910" si="68">"32 / 18-12-2013"</f>
        <v>32 / 18-12-2013</v>
      </c>
      <c r="J901" s="4">
        <v>41626</v>
      </c>
      <c r="K901" s="6">
        <v>0.83333333333333337</v>
      </c>
      <c r="L901" s="3">
        <v>28</v>
      </c>
      <c r="M901" s="3" t="s">
        <v>56</v>
      </c>
      <c r="N901" s="3" t="s">
        <v>56</v>
      </c>
      <c r="O901" s="5"/>
      <c r="P901" s="3" t="s">
        <v>22</v>
      </c>
      <c r="Q901" s="7"/>
      <c r="R901" s="7"/>
    </row>
    <row r="902" spans="1:18" ht="38.25" x14ac:dyDescent="0.25">
      <c r="A902" s="3" t="s">
        <v>18</v>
      </c>
      <c r="B902" s="3">
        <v>2013</v>
      </c>
      <c r="C902" s="3" t="s">
        <v>19</v>
      </c>
      <c r="D902" s="3" t="str">
        <f>"901 / 2013"</f>
        <v>901 / 2013</v>
      </c>
      <c r="E902" s="4">
        <v>41628</v>
      </c>
      <c r="F902" s="3" t="s">
        <v>2007</v>
      </c>
      <c r="G902" s="5"/>
      <c r="H902" s="3" t="s">
        <v>2008</v>
      </c>
      <c r="I902" s="3" t="str">
        <f t="shared" si="68"/>
        <v>32 / 18-12-2013</v>
      </c>
      <c r="J902" s="4">
        <v>41626</v>
      </c>
      <c r="K902" s="6">
        <v>0.83333333333333337</v>
      </c>
      <c r="L902" s="3">
        <v>28</v>
      </c>
      <c r="M902" s="3" t="s">
        <v>56</v>
      </c>
      <c r="N902" s="3" t="s">
        <v>56</v>
      </c>
      <c r="O902" s="5"/>
      <c r="P902" s="3" t="s">
        <v>22</v>
      </c>
      <c r="Q902" s="7"/>
      <c r="R902" s="7"/>
    </row>
    <row r="903" spans="1:18" ht="51" x14ac:dyDescent="0.25">
      <c r="A903" s="3" t="s">
        <v>18</v>
      </c>
      <c r="B903" s="3">
        <v>2013</v>
      </c>
      <c r="C903" s="3" t="s">
        <v>19</v>
      </c>
      <c r="D903" s="3" t="str">
        <f>"901α/ 2013"</f>
        <v>901α/ 2013</v>
      </c>
      <c r="E903" s="4">
        <v>41638</v>
      </c>
      <c r="F903" s="3" t="s">
        <v>2009</v>
      </c>
      <c r="G903" s="5"/>
      <c r="H903" s="3" t="s">
        <v>2010</v>
      </c>
      <c r="I903" s="3" t="str">
        <f t="shared" si="68"/>
        <v>32 / 18-12-2013</v>
      </c>
      <c r="J903" s="4">
        <v>41626</v>
      </c>
      <c r="K903" s="6">
        <v>0.83333333333333337</v>
      </c>
      <c r="L903" s="3">
        <v>29</v>
      </c>
      <c r="M903" s="3" t="s">
        <v>56</v>
      </c>
      <c r="N903" s="3" t="s">
        <v>56</v>
      </c>
      <c r="O903" s="5"/>
      <c r="P903" s="3" t="s">
        <v>22</v>
      </c>
      <c r="Q903" s="7"/>
      <c r="R903" s="7"/>
    </row>
    <row r="904" spans="1:18" ht="114.75" x14ac:dyDescent="0.25">
      <c r="A904" s="3" t="s">
        <v>18</v>
      </c>
      <c r="B904" s="3">
        <v>2013</v>
      </c>
      <c r="C904" s="3" t="s">
        <v>19</v>
      </c>
      <c r="D904" s="3" t="str">
        <f>"902 / 2013"</f>
        <v>902 / 2013</v>
      </c>
      <c r="E904" s="4">
        <v>41627</v>
      </c>
      <c r="F904" s="3" t="s">
        <v>2011</v>
      </c>
      <c r="G904" s="5"/>
      <c r="H904" s="3" t="s">
        <v>2012</v>
      </c>
      <c r="I904" s="3" t="str">
        <f t="shared" si="68"/>
        <v>32 / 18-12-2013</v>
      </c>
      <c r="J904" s="4">
        <v>41626</v>
      </c>
      <c r="K904" s="6">
        <v>0.83333333333333337</v>
      </c>
      <c r="L904" s="3">
        <v>30</v>
      </c>
      <c r="M904" s="3" t="s">
        <v>50</v>
      </c>
      <c r="N904" s="3" t="s">
        <v>50</v>
      </c>
      <c r="O904" s="5"/>
      <c r="P904" s="3" t="s">
        <v>22</v>
      </c>
      <c r="Q904" s="7"/>
      <c r="R904" s="7"/>
    </row>
    <row r="905" spans="1:18" ht="63.75" x14ac:dyDescent="0.25">
      <c r="A905" s="3" t="s">
        <v>18</v>
      </c>
      <c r="B905" s="3">
        <v>2013</v>
      </c>
      <c r="C905" s="3" t="s">
        <v>19</v>
      </c>
      <c r="D905" s="3" t="str">
        <f>"903 / 2013"</f>
        <v>903 / 2013</v>
      </c>
      <c r="E905" s="4">
        <v>41626</v>
      </c>
      <c r="F905" s="3" t="s">
        <v>2013</v>
      </c>
      <c r="G905" s="5"/>
      <c r="H905" s="3" t="s">
        <v>2014</v>
      </c>
      <c r="I905" s="3" t="str">
        <f t="shared" si="68"/>
        <v>32 / 18-12-2013</v>
      </c>
      <c r="J905" s="4">
        <v>41626</v>
      </c>
      <c r="K905" s="6">
        <v>0.83333333333333337</v>
      </c>
      <c r="L905" s="3">
        <v>31</v>
      </c>
      <c r="M905" s="3" t="s">
        <v>32</v>
      </c>
      <c r="N905" s="3" t="s">
        <v>32</v>
      </c>
      <c r="O905" s="5"/>
      <c r="P905" s="3" t="s">
        <v>22</v>
      </c>
      <c r="Q905" s="7"/>
      <c r="R905" s="7"/>
    </row>
    <row r="906" spans="1:18" ht="102" x14ac:dyDescent="0.25">
      <c r="A906" s="3" t="s">
        <v>18</v>
      </c>
      <c r="B906" s="3">
        <v>2013</v>
      </c>
      <c r="C906" s="3" t="s">
        <v>19</v>
      </c>
      <c r="D906" s="3" t="str">
        <f>"904 / 2013"</f>
        <v>904 / 2013</v>
      </c>
      <c r="E906" s="4">
        <v>41627</v>
      </c>
      <c r="F906" s="3" t="s">
        <v>2015</v>
      </c>
      <c r="G906" s="5"/>
      <c r="H906" s="3" t="s">
        <v>2016</v>
      </c>
      <c r="I906" s="3" t="str">
        <f t="shared" si="68"/>
        <v>32 / 18-12-2013</v>
      </c>
      <c r="J906" s="4">
        <v>41626</v>
      </c>
      <c r="K906" s="6">
        <v>0.83333333333333337</v>
      </c>
      <c r="L906" s="3">
        <v>32</v>
      </c>
      <c r="M906" s="3" t="s">
        <v>352</v>
      </c>
      <c r="N906" s="3" t="s">
        <v>352</v>
      </c>
      <c r="O906" s="5"/>
      <c r="P906" s="3" t="s">
        <v>22</v>
      </c>
      <c r="Q906" s="7"/>
      <c r="R906" s="7"/>
    </row>
    <row r="907" spans="1:18" ht="76.5" x14ac:dyDescent="0.25">
      <c r="A907" s="3" t="s">
        <v>18</v>
      </c>
      <c r="B907" s="3">
        <v>2013</v>
      </c>
      <c r="C907" s="3" t="s">
        <v>19</v>
      </c>
      <c r="D907" s="3" t="str">
        <f>"905 / 2013"</f>
        <v>905 / 2013</v>
      </c>
      <c r="E907" s="4">
        <v>41638</v>
      </c>
      <c r="F907" s="3" t="s">
        <v>2017</v>
      </c>
      <c r="G907" s="5"/>
      <c r="H907" s="3" t="s">
        <v>2018</v>
      </c>
      <c r="I907" s="3" t="str">
        <f t="shared" si="68"/>
        <v>32 / 18-12-2013</v>
      </c>
      <c r="J907" s="4">
        <v>41626</v>
      </c>
      <c r="K907" s="6">
        <v>0.83333333333333337</v>
      </c>
      <c r="L907" s="3">
        <v>33</v>
      </c>
      <c r="M907" s="3" t="s">
        <v>352</v>
      </c>
      <c r="N907" s="3" t="s">
        <v>352</v>
      </c>
      <c r="O907" s="5"/>
      <c r="P907" s="3" t="s">
        <v>22</v>
      </c>
      <c r="Q907" s="7"/>
      <c r="R907" s="7"/>
    </row>
    <row r="908" spans="1:18" ht="102" x14ac:dyDescent="0.25">
      <c r="A908" s="3" t="s">
        <v>18</v>
      </c>
      <c r="B908" s="3">
        <v>2013</v>
      </c>
      <c r="C908" s="3" t="s">
        <v>19</v>
      </c>
      <c r="D908" s="3" t="str">
        <f>"907 / 2013"</f>
        <v>907 / 2013</v>
      </c>
      <c r="E908" s="4">
        <v>41638</v>
      </c>
      <c r="F908" s="3" t="s">
        <v>2019</v>
      </c>
      <c r="G908" s="5"/>
      <c r="H908" s="3" t="s">
        <v>2020</v>
      </c>
      <c r="I908" s="3" t="str">
        <f t="shared" si="68"/>
        <v>32 / 18-12-2013</v>
      </c>
      <c r="J908" s="4">
        <v>41626</v>
      </c>
      <c r="K908" s="6">
        <v>0.83333333333333337</v>
      </c>
      <c r="L908" s="3">
        <v>33</v>
      </c>
      <c r="M908" s="3" t="s">
        <v>352</v>
      </c>
      <c r="N908" s="3" t="s">
        <v>352</v>
      </c>
      <c r="O908" s="5"/>
      <c r="P908" s="3" t="s">
        <v>22</v>
      </c>
      <c r="Q908" s="7"/>
      <c r="R908" s="7"/>
    </row>
    <row r="909" spans="1:18" ht="63.75" x14ac:dyDescent="0.25">
      <c r="A909" s="3" t="s">
        <v>18</v>
      </c>
      <c r="B909" s="3">
        <v>2013</v>
      </c>
      <c r="C909" s="3" t="s">
        <v>19</v>
      </c>
      <c r="D909" s="3" t="str">
        <f>"908 / 2013"</f>
        <v>908 / 2013</v>
      </c>
      <c r="E909" s="4">
        <v>41638</v>
      </c>
      <c r="F909" s="3" t="s">
        <v>2021</v>
      </c>
      <c r="G909" s="5"/>
      <c r="H909" s="3" t="s">
        <v>2022</v>
      </c>
      <c r="I909" s="3" t="str">
        <f t="shared" si="68"/>
        <v>32 / 18-12-2013</v>
      </c>
      <c r="J909" s="4">
        <v>41626</v>
      </c>
      <c r="K909" s="6">
        <v>0.83333333333333337</v>
      </c>
      <c r="L909" s="3">
        <v>33</v>
      </c>
      <c r="M909" s="3" t="s">
        <v>355</v>
      </c>
      <c r="N909" s="3" t="s">
        <v>355</v>
      </c>
      <c r="O909" s="5"/>
      <c r="P909" s="3" t="s">
        <v>22</v>
      </c>
      <c r="Q909" s="7"/>
      <c r="R909" s="7"/>
    </row>
    <row r="910" spans="1:18" ht="63.75" x14ac:dyDescent="0.25">
      <c r="A910" s="3" t="s">
        <v>18</v>
      </c>
      <c r="B910" s="3">
        <v>2013</v>
      </c>
      <c r="C910" s="3" t="s">
        <v>19</v>
      </c>
      <c r="D910" s="3" t="str">
        <f>"909 / 2013"</f>
        <v>909 / 2013</v>
      </c>
      <c r="E910" s="4">
        <v>41631</v>
      </c>
      <c r="F910" s="3" t="s">
        <v>2023</v>
      </c>
      <c r="G910" s="5"/>
      <c r="H910" s="3" t="s">
        <v>2024</v>
      </c>
      <c r="I910" s="3" t="str">
        <f t="shared" si="68"/>
        <v>32 / 18-12-2013</v>
      </c>
      <c r="J910" s="4">
        <v>41626</v>
      </c>
      <c r="K910" s="6">
        <v>0.83333333333333337</v>
      </c>
      <c r="L910" s="3">
        <v>34</v>
      </c>
      <c r="M910" s="3" t="s">
        <v>355</v>
      </c>
      <c r="N910" s="3" t="s">
        <v>355</v>
      </c>
      <c r="O910" s="5"/>
      <c r="P910" s="3" t="s">
        <v>22</v>
      </c>
      <c r="Q910" s="7"/>
      <c r="R910" s="7"/>
    </row>
    <row r="911" spans="1:18" ht="114.75" x14ac:dyDescent="0.25">
      <c r="A911" s="3" t="s">
        <v>18</v>
      </c>
      <c r="B911" s="3">
        <v>2013</v>
      </c>
      <c r="C911" s="3" t="s">
        <v>19</v>
      </c>
      <c r="D911" s="3" t="str">
        <f>"91/2013"</f>
        <v>91/2013</v>
      </c>
      <c r="E911" s="4">
        <v>41344</v>
      </c>
      <c r="F911" s="3" t="s">
        <v>2025</v>
      </c>
      <c r="G911" s="5"/>
      <c r="H911" s="3" t="s">
        <v>2026</v>
      </c>
      <c r="I911" s="3" t="str">
        <f>"6/06-03-2013"</f>
        <v>6/06-03-2013</v>
      </c>
      <c r="J911" s="4">
        <v>41339</v>
      </c>
      <c r="K911" s="6">
        <v>0.79166666666666663</v>
      </c>
      <c r="L911" s="3">
        <v>6</v>
      </c>
      <c r="M911" s="3" t="s">
        <v>162</v>
      </c>
      <c r="N911" s="3" t="s">
        <v>162</v>
      </c>
      <c r="O911" s="5"/>
      <c r="P911" s="3" t="s">
        <v>22</v>
      </c>
      <c r="Q911" s="7"/>
      <c r="R911" s="7"/>
    </row>
    <row r="912" spans="1:18" ht="63.75" x14ac:dyDescent="0.25">
      <c r="A912" s="3" t="s">
        <v>18</v>
      </c>
      <c r="B912" s="3">
        <v>2013</v>
      </c>
      <c r="C912" s="3" t="s">
        <v>19</v>
      </c>
      <c r="D912" s="3" t="str">
        <f>"910 / 2013"</f>
        <v>910 / 2013</v>
      </c>
      <c r="E912" s="4">
        <v>41631</v>
      </c>
      <c r="F912" s="3" t="s">
        <v>2027</v>
      </c>
      <c r="G912" s="5"/>
      <c r="H912" s="3" t="s">
        <v>2028</v>
      </c>
      <c r="I912" s="3" t="str">
        <f t="shared" ref="I912:I918" si="69">"32 / 18-12-2013"</f>
        <v>32 / 18-12-2013</v>
      </c>
      <c r="J912" s="4">
        <v>41626</v>
      </c>
      <c r="K912" s="6">
        <v>0.83333333333333337</v>
      </c>
      <c r="L912" s="3">
        <v>34</v>
      </c>
      <c r="M912" s="3" t="s">
        <v>355</v>
      </c>
      <c r="N912" s="3" t="s">
        <v>355</v>
      </c>
      <c r="O912" s="5"/>
      <c r="P912" s="3" t="s">
        <v>22</v>
      </c>
      <c r="Q912" s="7"/>
      <c r="R912" s="7"/>
    </row>
    <row r="913" spans="1:18" ht="51" x14ac:dyDescent="0.25">
      <c r="A913" s="3" t="s">
        <v>18</v>
      </c>
      <c r="B913" s="3">
        <v>2013</v>
      </c>
      <c r="C913" s="3" t="s">
        <v>19</v>
      </c>
      <c r="D913" s="3" t="str">
        <f>"911 / 2013"</f>
        <v>911 / 2013</v>
      </c>
      <c r="E913" s="4">
        <v>41638</v>
      </c>
      <c r="F913" s="3" t="s">
        <v>2029</v>
      </c>
      <c r="G913" s="5"/>
      <c r="H913" s="3" t="s">
        <v>2030</v>
      </c>
      <c r="I913" s="3" t="str">
        <f t="shared" si="69"/>
        <v>32 / 18-12-2013</v>
      </c>
      <c r="J913" s="4">
        <v>41626</v>
      </c>
      <c r="K913" s="6">
        <v>0.83333333333333337</v>
      </c>
      <c r="L913" s="3">
        <v>34</v>
      </c>
      <c r="M913" s="3" t="s">
        <v>355</v>
      </c>
      <c r="N913" s="3" t="s">
        <v>355</v>
      </c>
      <c r="O913" s="5"/>
      <c r="P913" s="3" t="s">
        <v>22</v>
      </c>
      <c r="Q913" s="7"/>
      <c r="R913" s="7"/>
    </row>
    <row r="914" spans="1:18" ht="51" x14ac:dyDescent="0.25">
      <c r="A914" s="3" t="s">
        <v>18</v>
      </c>
      <c r="B914" s="3">
        <v>2013</v>
      </c>
      <c r="C914" s="3" t="s">
        <v>19</v>
      </c>
      <c r="D914" s="3" t="str">
        <f>"912 / 2013"</f>
        <v>912 / 2013</v>
      </c>
      <c r="E914" s="4">
        <v>41626</v>
      </c>
      <c r="F914" s="3" t="s">
        <v>2031</v>
      </c>
      <c r="G914" s="5"/>
      <c r="H914" s="3" t="s">
        <v>2032</v>
      </c>
      <c r="I914" s="3" t="str">
        <f t="shared" si="69"/>
        <v>32 / 18-12-2013</v>
      </c>
      <c r="J914" s="4">
        <v>41626</v>
      </c>
      <c r="K914" s="6">
        <v>0.83333333333333337</v>
      </c>
      <c r="L914" s="3">
        <v>34</v>
      </c>
      <c r="M914" s="3" t="s">
        <v>1287</v>
      </c>
      <c r="N914" s="3" t="s">
        <v>1287</v>
      </c>
      <c r="O914" s="5"/>
      <c r="P914" s="3" t="s">
        <v>22</v>
      </c>
      <c r="Q914" s="7"/>
      <c r="R914" s="7"/>
    </row>
    <row r="915" spans="1:18" ht="38.25" x14ac:dyDescent="0.25">
      <c r="A915" s="3" t="s">
        <v>18</v>
      </c>
      <c r="B915" s="3">
        <v>2013</v>
      </c>
      <c r="C915" s="3" t="s">
        <v>19</v>
      </c>
      <c r="D915" s="3" t="str">
        <f>"913 / 2013"</f>
        <v>913 / 2013</v>
      </c>
      <c r="E915" s="4">
        <v>41638</v>
      </c>
      <c r="F915" s="3" t="s">
        <v>2033</v>
      </c>
      <c r="G915" s="5"/>
      <c r="H915" s="3" t="s">
        <v>2034</v>
      </c>
      <c r="I915" s="3" t="str">
        <f t="shared" si="69"/>
        <v>32 / 18-12-2013</v>
      </c>
      <c r="J915" s="4">
        <v>41626</v>
      </c>
      <c r="K915" s="6">
        <v>0.83333333333333337</v>
      </c>
      <c r="L915" s="3">
        <v>34</v>
      </c>
      <c r="M915" s="3" t="s">
        <v>801</v>
      </c>
      <c r="N915" s="3" t="s">
        <v>801</v>
      </c>
      <c r="O915" s="5"/>
      <c r="P915" s="3" t="s">
        <v>22</v>
      </c>
      <c r="Q915" s="7"/>
      <c r="R915" s="7"/>
    </row>
    <row r="916" spans="1:18" ht="51" x14ac:dyDescent="0.25">
      <c r="A916" s="3" t="s">
        <v>18</v>
      </c>
      <c r="B916" s="3">
        <v>2013</v>
      </c>
      <c r="C916" s="3" t="s">
        <v>19</v>
      </c>
      <c r="D916" s="3" t="str">
        <f>"915 / 2013"</f>
        <v>915 / 2013</v>
      </c>
      <c r="E916" s="4">
        <v>41628</v>
      </c>
      <c r="F916" s="3" t="s">
        <v>2035</v>
      </c>
      <c r="G916" s="5"/>
      <c r="H916" s="3" t="s">
        <v>2036</v>
      </c>
      <c r="I916" s="3" t="str">
        <f t="shared" si="69"/>
        <v>32 / 18-12-2013</v>
      </c>
      <c r="J916" s="4">
        <v>41626</v>
      </c>
      <c r="K916" s="6">
        <v>0.83333333333333337</v>
      </c>
      <c r="L916" s="3">
        <v>35</v>
      </c>
      <c r="M916" s="3" t="s">
        <v>32</v>
      </c>
      <c r="N916" s="3" t="s">
        <v>32</v>
      </c>
      <c r="O916" s="5"/>
      <c r="P916" s="3" t="s">
        <v>22</v>
      </c>
      <c r="Q916" s="7"/>
      <c r="R916" s="7"/>
    </row>
    <row r="917" spans="1:18" ht="102" x14ac:dyDescent="0.25">
      <c r="A917" s="3" t="s">
        <v>18</v>
      </c>
      <c r="B917" s="3">
        <v>2013</v>
      </c>
      <c r="C917" s="3" t="s">
        <v>19</v>
      </c>
      <c r="D917" s="3" t="str">
        <f>"916 / 2013"</f>
        <v>916 / 2013</v>
      </c>
      <c r="E917" s="4">
        <v>41628</v>
      </c>
      <c r="F917" s="3" t="s">
        <v>2037</v>
      </c>
      <c r="G917" s="5"/>
      <c r="H917" s="3" t="s">
        <v>2038</v>
      </c>
      <c r="I917" s="3" t="str">
        <f t="shared" si="69"/>
        <v>32 / 18-12-2013</v>
      </c>
      <c r="J917" s="4">
        <v>41626</v>
      </c>
      <c r="K917" s="6">
        <v>0.83333333333333337</v>
      </c>
      <c r="L917" s="3">
        <v>35</v>
      </c>
      <c r="M917" s="3" t="s">
        <v>32</v>
      </c>
      <c r="N917" s="3" t="s">
        <v>32</v>
      </c>
      <c r="O917" s="5"/>
      <c r="P917" s="3" t="s">
        <v>22</v>
      </c>
      <c r="Q917" s="7"/>
      <c r="R917" s="7"/>
    </row>
    <row r="918" spans="1:18" ht="76.5" x14ac:dyDescent="0.25">
      <c r="A918" s="3" t="s">
        <v>18</v>
      </c>
      <c r="B918" s="3">
        <v>2013</v>
      </c>
      <c r="C918" s="3" t="s">
        <v>19</v>
      </c>
      <c r="D918" s="3" t="str">
        <f>"917 / 2013"</f>
        <v>917 / 2013</v>
      </c>
      <c r="E918" s="4">
        <v>41628</v>
      </c>
      <c r="F918" s="3" t="s">
        <v>2039</v>
      </c>
      <c r="G918" s="5"/>
      <c r="H918" s="3" t="s">
        <v>2040</v>
      </c>
      <c r="I918" s="3" t="str">
        <f t="shared" si="69"/>
        <v>32 / 18-12-2013</v>
      </c>
      <c r="J918" s="4">
        <v>41626</v>
      </c>
      <c r="K918" s="6">
        <v>0.83333333333333337</v>
      </c>
      <c r="L918" s="3">
        <v>35</v>
      </c>
      <c r="M918" s="3" t="s">
        <v>132</v>
      </c>
      <c r="N918" s="3" t="s">
        <v>132</v>
      </c>
      <c r="O918" s="5"/>
      <c r="P918" s="3" t="s">
        <v>22</v>
      </c>
      <c r="Q918" s="7"/>
      <c r="R918" s="7"/>
    </row>
    <row r="919" spans="1:18" ht="38.25" x14ac:dyDescent="0.25">
      <c r="A919" s="3" t="s">
        <v>18</v>
      </c>
      <c r="B919" s="3">
        <v>2013</v>
      </c>
      <c r="C919" s="3" t="s">
        <v>19</v>
      </c>
      <c r="D919" s="3" t="str">
        <f>"92/2013"</f>
        <v>92/2013</v>
      </c>
      <c r="E919" s="4">
        <v>41345</v>
      </c>
      <c r="F919" s="3" t="s">
        <v>2041</v>
      </c>
      <c r="G919" s="5"/>
      <c r="H919" s="3" t="s">
        <v>2042</v>
      </c>
      <c r="I919" s="3" t="str">
        <f t="shared" ref="I919:I926" si="70">"6/06-03-2013"</f>
        <v>6/06-03-2013</v>
      </c>
      <c r="J919" s="4">
        <v>41339</v>
      </c>
      <c r="K919" s="6">
        <v>0.79166666666666663</v>
      </c>
      <c r="L919" s="3">
        <v>7</v>
      </c>
      <c r="M919" s="3" t="s">
        <v>256</v>
      </c>
      <c r="N919" s="3" t="s">
        <v>256</v>
      </c>
      <c r="O919" s="5"/>
      <c r="P919" s="3" t="s">
        <v>22</v>
      </c>
      <c r="Q919" s="7"/>
      <c r="R919" s="7"/>
    </row>
    <row r="920" spans="1:18" ht="51" x14ac:dyDescent="0.25">
      <c r="A920" s="3" t="s">
        <v>18</v>
      </c>
      <c r="B920" s="3">
        <v>2013</v>
      </c>
      <c r="C920" s="3" t="s">
        <v>19</v>
      </c>
      <c r="D920" s="3" t="str">
        <f>"93/2013"</f>
        <v>93/2013</v>
      </c>
      <c r="E920" s="4">
        <v>41345</v>
      </c>
      <c r="F920" s="3" t="s">
        <v>2043</v>
      </c>
      <c r="G920" s="5"/>
      <c r="H920" s="3" t="s">
        <v>2044</v>
      </c>
      <c r="I920" s="3" t="str">
        <f t="shared" si="70"/>
        <v>6/06-03-2013</v>
      </c>
      <c r="J920" s="4">
        <v>41339</v>
      </c>
      <c r="K920" s="6">
        <v>0.79166666666666663</v>
      </c>
      <c r="L920" s="3">
        <v>7</v>
      </c>
      <c r="M920" s="3" t="s">
        <v>256</v>
      </c>
      <c r="N920" s="3" t="s">
        <v>256</v>
      </c>
      <c r="O920" s="5"/>
      <c r="P920" s="3" t="s">
        <v>22</v>
      </c>
      <c r="Q920" s="7"/>
      <c r="R920" s="7"/>
    </row>
    <row r="921" spans="1:18" ht="38.25" x14ac:dyDescent="0.25">
      <c r="A921" s="3" t="s">
        <v>18</v>
      </c>
      <c r="B921" s="3">
        <v>2013</v>
      </c>
      <c r="C921" s="3" t="s">
        <v>19</v>
      </c>
      <c r="D921" s="3" t="str">
        <f>"94/2013"</f>
        <v>94/2013</v>
      </c>
      <c r="E921" s="4">
        <v>41345</v>
      </c>
      <c r="F921" s="3" t="s">
        <v>2045</v>
      </c>
      <c r="G921" s="5"/>
      <c r="H921" s="3" t="s">
        <v>2046</v>
      </c>
      <c r="I921" s="3" t="str">
        <f t="shared" si="70"/>
        <v>6/06-03-2013</v>
      </c>
      <c r="J921" s="4">
        <v>41339</v>
      </c>
      <c r="K921" s="6">
        <v>0.79166666666666663</v>
      </c>
      <c r="L921" s="3">
        <v>7</v>
      </c>
      <c r="M921" s="3" t="s">
        <v>256</v>
      </c>
      <c r="N921" s="3" t="s">
        <v>256</v>
      </c>
      <c r="O921" s="5"/>
      <c r="P921" s="3" t="s">
        <v>22</v>
      </c>
      <c r="Q921" s="7"/>
      <c r="R921" s="7"/>
    </row>
    <row r="922" spans="1:18" ht="38.25" x14ac:dyDescent="0.25">
      <c r="A922" s="3" t="s">
        <v>18</v>
      </c>
      <c r="B922" s="3">
        <v>2013</v>
      </c>
      <c r="C922" s="3" t="s">
        <v>19</v>
      </c>
      <c r="D922" s="3" t="str">
        <f>"95/2013"</f>
        <v>95/2013</v>
      </c>
      <c r="E922" s="4">
        <v>41346</v>
      </c>
      <c r="F922" s="3" t="s">
        <v>2047</v>
      </c>
      <c r="G922" s="5"/>
      <c r="H922" s="3" t="s">
        <v>2048</v>
      </c>
      <c r="I922" s="3" t="str">
        <f t="shared" si="70"/>
        <v>6/06-03-2013</v>
      </c>
      <c r="J922" s="4">
        <v>41339</v>
      </c>
      <c r="K922" s="6">
        <v>0.79166666666666663</v>
      </c>
      <c r="L922" s="3">
        <v>8</v>
      </c>
      <c r="M922" s="3" t="s">
        <v>256</v>
      </c>
      <c r="N922" s="3" t="s">
        <v>256</v>
      </c>
      <c r="O922" s="5"/>
      <c r="P922" s="3" t="s">
        <v>22</v>
      </c>
      <c r="Q922" s="7"/>
      <c r="R922" s="7"/>
    </row>
    <row r="923" spans="1:18" ht="76.5" x14ac:dyDescent="0.25">
      <c r="A923" s="3" t="s">
        <v>18</v>
      </c>
      <c r="B923" s="3">
        <v>2013</v>
      </c>
      <c r="C923" s="3" t="s">
        <v>19</v>
      </c>
      <c r="D923" s="3" t="str">
        <f>"96/2013"</f>
        <v>96/2013</v>
      </c>
      <c r="E923" s="4">
        <v>41345</v>
      </c>
      <c r="F923" s="3" t="s">
        <v>2049</v>
      </c>
      <c r="G923" s="5"/>
      <c r="H923" s="3" t="s">
        <v>2050</v>
      </c>
      <c r="I923" s="3" t="str">
        <f t="shared" si="70"/>
        <v>6/06-03-2013</v>
      </c>
      <c r="J923" s="4">
        <v>41339</v>
      </c>
      <c r="K923" s="6">
        <v>0.79166666666666663</v>
      </c>
      <c r="L923" s="3">
        <v>9</v>
      </c>
      <c r="M923" s="3" t="s">
        <v>761</v>
      </c>
      <c r="N923" s="3" t="s">
        <v>761</v>
      </c>
      <c r="O923" s="5"/>
      <c r="P923" s="3" t="s">
        <v>22</v>
      </c>
      <c r="Q923" s="7"/>
      <c r="R923" s="7"/>
    </row>
    <row r="924" spans="1:18" ht="76.5" x14ac:dyDescent="0.25">
      <c r="A924" s="3" t="s">
        <v>18</v>
      </c>
      <c r="B924" s="3">
        <v>2013</v>
      </c>
      <c r="C924" s="3" t="s">
        <v>19</v>
      </c>
      <c r="D924" s="3" t="str">
        <f>"97/2013"</f>
        <v>97/2013</v>
      </c>
      <c r="E924" s="4">
        <v>41341</v>
      </c>
      <c r="F924" s="3" t="s">
        <v>2051</v>
      </c>
      <c r="G924" s="5"/>
      <c r="H924" s="3" t="s">
        <v>2052</v>
      </c>
      <c r="I924" s="3" t="str">
        <f t="shared" si="70"/>
        <v>6/06-03-2013</v>
      </c>
      <c r="J924" s="4">
        <v>41339</v>
      </c>
      <c r="K924" s="6">
        <v>0.79166666666666663</v>
      </c>
      <c r="L924" s="3">
        <v>10</v>
      </c>
      <c r="M924" s="3" t="s">
        <v>2053</v>
      </c>
      <c r="N924" s="3" t="s">
        <v>2053</v>
      </c>
      <c r="O924" s="5"/>
      <c r="P924" s="3" t="s">
        <v>22</v>
      </c>
      <c r="Q924" s="7"/>
      <c r="R924" s="7"/>
    </row>
    <row r="925" spans="1:18" ht="38.25" x14ac:dyDescent="0.25">
      <c r="A925" s="3" t="s">
        <v>18</v>
      </c>
      <c r="B925" s="3">
        <v>2013</v>
      </c>
      <c r="C925" s="3" t="s">
        <v>19</v>
      </c>
      <c r="D925" s="3" t="str">
        <f>"98/2013"</f>
        <v>98/2013</v>
      </c>
      <c r="E925" s="4">
        <v>41344</v>
      </c>
      <c r="F925" s="3" t="s">
        <v>2054</v>
      </c>
      <c r="G925" s="5"/>
      <c r="H925" s="3" t="s">
        <v>2055</v>
      </c>
      <c r="I925" s="3" t="str">
        <f t="shared" si="70"/>
        <v>6/06-03-2013</v>
      </c>
      <c r="J925" s="4">
        <v>41339</v>
      </c>
      <c r="K925" s="6">
        <v>0.79166666666666663</v>
      </c>
      <c r="L925" s="3">
        <v>10</v>
      </c>
      <c r="M925" s="3" t="s">
        <v>256</v>
      </c>
      <c r="N925" s="3" t="s">
        <v>256</v>
      </c>
      <c r="O925" s="5"/>
      <c r="P925" s="3" t="s">
        <v>22</v>
      </c>
      <c r="Q925" s="7"/>
      <c r="R925" s="7"/>
    </row>
    <row r="926" spans="1:18" ht="114.75" x14ac:dyDescent="0.25">
      <c r="A926" s="3" t="s">
        <v>18</v>
      </c>
      <c r="B926" s="3">
        <v>2013</v>
      </c>
      <c r="C926" s="3" t="s">
        <v>19</v>
      </c>
      <c r="D926" s="3" t="str">
        <f>"99/2013"</f>
        <v>99/2013</v>
      </c>
      <c r="E926" s="4">
        <v>41345</v>
      </c>
      <c r="F926" s="3" t="s">
        <v>2056</v>
      </c>
      <c r="G926" s="5"/>
      <c r="H926" s="3" t="s">
        <v>2057</v>
      </c>
      <c r="I926" s="3" t="str">
        <f t="shared" si="70"/>
        <v>6/06-03-2013</v>
      </c>
      <c r="J926" s="4">
        <v>41339</v>
      </c>
      <c r="K926" s="6">
        <v>0.79166666666666663</v>
      </c>
      <c r="L926" s="3">
        <v>11</v>
      </c>
      <c r="M926" s="3" t="s">
        <v>149</v>
      </c>
      <c r="N926" s="3" t="s">
        <v>149</v>
      </c>
      <c r="O926" s="5"/>
      <c r="P926" s="3" t="s">
        <v>22</v>
      </c>
      <c r="Q926" s="7"/>
      <c r="R926" s="7"/>
    </row>
    <row r="927" spans="1:18" ht="51" x14ac:dyDescent="0.25">
      <c r="A927" s="3" t="s">
        <v>18</v>
      </c>
      <c r="B927" s="3">
        <v>2013</v>
      </c>
      <c r="C927" s="3" t="s">
        <v>2058</v>
      </c>
      <c r="D927" s="3" t="str">
        <f>"02 / 2013"</f>
        <v>02 / 2013</v>
      </c>
      <c r="E927" s="4">
        <v>41296</v>
      </c>
      <c r="F927" s="3" t="s">
        <v>2059</v>
      </c>
      <c r="G927" s="5"/>
      <c r="H927" s="3" t="s">
        <v>2060</v>
      </c>
      <c r="I927" s="3">
        <v>1</v>
      </c>
      <c r="J927" s="4">
        <v>41295</v>
      </c>
      <c r="K927" s="6">
        <v>0.5</v>
      </c>
      <c r="L927" s="3">
        <v>2</v>
      </c>
      <c r="M927" s="3" t="s">
        <v>2061</v>
      </c>
      <c r="N927" s="3" t="s">
        <v>2061</v>
      </c>
      <c r="O927" s="5"/>
      <c r="P927" s="3" t="s">
        <v>22</v>
      </c>
      <c r="Q927" s="7"/>
      <c r="R927" s="7"/>
    </row>
    <row r="928" spans="1:18" ht="102" x14ac:dyDescent="0.25">
      <c r="A928" s="3" t="s">
        <v>18</v>
      </c>
      <c r="B928" s="3">
        <v>2013</v>
      </c>
      <c r="C928" s="3" t="s">
        <v>2058</v>
      </c>
      <c r="D928" s="3" t="str">
        <f>"05 / 2013"</f>
        <v>05 / 2013</v>
      </c>
      <c r="E928" s="4">
        <v>41296</v>
      </c>
      <c r="F928" s="3" t="s">
        <v>2062</v>
      </c>
      <c r="G928" s="5"/>
      <c r="H928" s="3" t="s">
        <v>2063</v>
      </c>
      <c r="I928" s="3">
        <v>1</v>
      </c>
      <c r="J928" s="4">
        <v>41295</v>
      </c>
      <c r="K928" s="6">
        <v>0.5</v>
      </c>
      <c r="L928" s="3">
        <v>5</v>
      </c>
      <c r="M928" s="3" t="s">
        <v>2064</v>
      </c>
      <c r="N928" s="3" t="s">
        <v>2064</v>
      </c>
      <c r="O928" s="5"/>
      <c r="P928" s="3" t="s">
        <v>22</v>
      </c>
      <c r="Q928" s="7"/>
      <c r="R928" s="7"/>
    </row>
    <row r="929" spans="1:18" ht="127.5" x14ac:dyDescent="0.25">
      <c r="A929" s="3" t="s">
        <v>18</v>
      </c>
      <c r="B929" s="3">
        <v>2013</v>
      </c>
      <c r="C929" s="3" t="s">
        <v>2058</v>
      </c>
      <c r="D929" s="3" t="str">
        <f>"06 / 2013"</f>
        <v>06 / 2013</v>
      </c>
      <c r="E929" s="4">
        <v>41295</v>
      </c>
      <c r="F929" s="3" t="s">
        <v>2065</v>
      </c>
      <c r="G929" s="5"/>
      <c r="H929" s="3" t="s">
        <v>2066</v>
      </c>
      <c r="I929" s="3">
        <v>1</v>
      </c>
      <c r="J929" s="4">
        <v>41295</v>
      </c>
      <c r="K929" s="6">
        <v>0.5</v>
      </c>
      <c r="L929" s="3">
        <v>6</v>
      </c>
      <c r="M929" s="3" t="s">
        <v>29</v>
      </c>
      <c r="N929" s="3" t="s">
        <v>29</v>
      </c>
      <c r="O929" s="5"/>
      <c r="P929" s="3" t="s">
        <v>22</v>
      </c>
      <c r="Q929" s="7"/>
      <c r="R929" s="7"/>
    </row>
    <row r="930" spans="1:18" ht="89.25" x14ac:dyDescent="0.25">
      <c r="A930" s="3" t="s">
        <v>18</v>
      </c>
      <c r="B930" s="3">
        <v>2013</v>
      </c>
      <c r="C930" s="3" t="s">
        <v>2058</v>
      </c>
      <c r="D930" s="3" t="str">
        <f>"1 / 2013"</f>
        <v>1 / 2013</v>
      </c>
      <c r="E930" s="4">
        <v>41298</v>
      </c>
      <c r="F930" s="3" t="s">
        <v>2067</v>
      </c>
      <c r="G930" s="5"/>
      <c r="H930" s="3" t="s">
        <v>2068</v>
      </c>
      <c r="I930" s="3">
        <v>1</v>
      </c>
      <c r="J930" s="4">
        <v>41295</v>
      </c>
      <c r="K930" s="6">
        <v>0.5</v>
      </c>
      <c r="L930" s="3">
        <v>1</v>
      </c>
      <c r="M930" s="3" t="s">
        <v>2069</v>
      </c>
      <c r="N930" s="3" t="s">
        <v>2069</v>
      </c>
      <c r="O930" s="5"/>
      <c r="P930" s="3" t="s">
        <v>22</v>
      </c>
      <c r="Q930" s="7"/>
      <c r="R930" s="7"/>
    </row>
    <row r="931" spans="1:18" ht="63.75" x14ac:dyDescent="0.25">
      <c r="A931" s="3" t="s">
        <v>18</v>
      </c>
      <c r="B931" s="3">
        <v>2013</v>
      </c>
      <c r="C931" s="3" t="s">
        <v>2058</v>
      </c>
      <c r="D931" s="3" t="str">
        <f>"10/ 2013"</f>
        <v>10/ 2013</v>
      </c>
      <c r="E931" s="4">
        <v>41305</v>
      </c>
      <c r="F931" s="3" t="s">
        <v>2070</v>
      </c>
      <c r="G931" s="5"/>
      <c r="H931" s="3" t="s">
        <v>2071</v>
      </c>
      <c r="I931" s="3">
        <v>1</v>
      </c>
      <c r="J931" s="4">
        <v>41295</v>
      </c>
      <c r="K931" s="6">
        <v>0.5</v>
      </c>
      <c r="L931" s="3">
        <v>10</v>
      </c>
      <c r="M931" s="3" t="s">
        <v>2061</v>
      </c>
      <c r="N931" s="3" t="s">
        <v>2061</v>
      </c>
      <c r="O931" s="5"/>
      <c r="P931" s="3" t="s">
        <v>22</v>
      </c>
      <c r="Q931" s="7"/>
      <c r="R931" s="7"/>
    </row>
    <row r="932" spans="1:18" ht="204" x14ac:dyDescent="0.25">
      <c r="A932" s="3" t="s">
        <v>18</v>
      </c>
      <c r="B932" s="3">
        <v>2013</v>
      </c>
      <c r="C932" s="3" t="s">
        <v>2058</v>
      </c>
      <c r="D932" s="3" t="str">
        <f>"100/ 2013"</f>
        <v>100/ 2013</v>
      </c>
      <c r="E932" s="4">
        <v>41347</v>
      </c>
      <c r="F932" s="3" t="s">
        <v>2072</v>
      </c>
      <c r="G932" s="5"/>
      <c r="H932" s="3" t="s">
        <v>2073</v>
      </c>
      <c r="I932" s="3">
        <v>7</v>
      </c>
      <c r="J932" s="4">
        <v>41337</v>
      </c>
      <c r="K932" s="6">
        <v>0.47916666666666669</v>
      </c>
      <c r="L932" s="3">
        <v>14</v>
      </c>
      <c r="M932" s="3" t="s">
        <v>2074</v>
      </c>
      <c r="N932" s="3" t="s">
        <v>2074</v>
      </c>
      <c r="O932" s="5"/>
      <c r="P932" s="3" t="s">
        <v>22</v>
      </c>
      <c r="Q932" s="7"/>
      <c r="R932" s="7"/>
    </row>
    <row r="933" spans="1:18" ht="204" x14ac:dyDescent="0.25">
      <c r="A933" s="3" t="s">
        <v>18</v>
      </c>
      <c r="B933" s="3">
        <v>2013</v>
      </c>
      <c r="C933" s="3" t="s">
        <v>2058</v>
      </c>
      <c r="D933" s="3" t="str">
        <f>"101 / 2013"</f>
        <v>101 / 2013</v>
      </c>
      <c r="E933" s="4">
        <v>41347</v>
      </c>
      <c r="F933" s="3" t="s">
        <v>2075</v>
      </c>
      <c r="G933" s="5"/>
      <c r="H933" s="3" t="s">
        <v>2076</v>
      </c>
      <c r="I933" s="3">
        <v>7</v>
      </c>
      <c r="J933" s="4">
        <v>41337</v>
      </c>
      <c r="K933" s="6">
        <v>0.47916666666666669</v>
      </c>
      <c r="L933" s="3">
        <v>15</v>
      </c>
      <c r="M933" s="3" t="s">
        <v>2074</v>
      </c>
      <c r="N933" s="3" t="s">
        <v>2074</v>
      </c>
      <c r="O933" s="5"/>
      <c r="P933" s="3" t="s">
        <v>22</v>
      </c>
      <c r="Q933" s="7"/>
      <c r="R933" s="7"/>
    </row>
    <row r="934" spans="1:18" ht="63.75" x14ac:dyDescent="0.25">
      <c r="A934" s="3" t="s">
        <v>18</v>
      </c>
      <c r="B934" s="3">
        <v>2013</v>
      </c>
      <c r="C934" s="3" t="s">
        <v>2058</v>
      </c>
      <c r="D934" s="3" t="str">
        <f>"102 / 2013"</f>
        <v>102 / 2013</v>
      </c>
      <c r="E934" s="4">
        <v>41347</v>
      </c>
      <c r="F934" s="3" t="s">
        <v>2077</v>
      </c>
      <c r="G934" s="5"/>
      <c r="H934" s="3" t="s">
        <v>2078</v>
      </c>
      <c r="I934" s="3">
        <v>7</v>
      </c>
      <c r="J934" s="4">
        <v>41337</v>
      </c>
      <c r="K934" s="6">
        <v>0.47916666666666669</v>
      </c>
      <c r="L934" s="3">
        <v>16</v>
      </c>
      <c r="M934" s="3" t="s">
        <v>2074</v>
      </c>
      <c r="N934" s="3" t="s">
        <v>2074</v>
      </c>
      <c r="O934" s="5"/>
      <c r="P934" s="3" t="s">
        <v>22</v>
      </c>
      <c r="Q934" s="7"/>
      <c r="R934" s="7"/>
    </row>
    <row r="935" spans="1:18" ht="38.25" x14ac:dyDescent="0.25">
      <c r="A935" s="3" t="s">
        <v>18</v>
      </c>
      <c r="B935" s="3">
        <v>2013</v>
      </c>
      <c r="C935" s="3" t="s">
        <v>2058</v>
      </c>
      <c r="D935" s="3" t="str">
        <f>"103 / 2013"</f>
        <v>103 / 2013</v>
      </c>
      <c r="E935" s="4">
        <v>41340</v>
      </c>
      <c r="F935" s="3" t="s">
        <v>2079</v>
      </c>
      <c r="G935" s="5"/>
      <c r="H935" s="3" t="s">
        <v>2080</v>
      </c>
      <c r="I935" s="3">
        <v>7</v>
      </c>
      <c r="J935" s="4">
        <v>41337</v>
      </c>
      <c r="K935" s="6">
        <v>0.47916666666666669</v>
      </c>
      <c r="L935" s="3">
        <v>17</v>
      </c>
      <c r="M935" s="5"/>
      <c r="N935" s="5"/>
      <c r="O935" s="5"/>
      <c r="P935" s="3" t="s">
        <v>22</v>
      </c>
      <c r="Q935" s="7"/>
      <c r="R935" s="7"/>
    </row>
    <row r="936" spans="1:18" ht="255" x14ac:dyDescent="0.25">
      <c r="A936" s="3" t="s">
        <v>18</v>
      </c>
      <c r="B936" s="3">
        <v>2013</v>
      </c>
      <c r="C936" s="3" t="s">
        <v>2058</v>
      </c>
      <c r="D936" s="3" t="str">
        <f>"104 / 2013"</f>
        <v>104 / 2013</v>
      </c>
      <c r="E936" s="4">
        <v>41345</v>
      </c>
      <c r="F936" s="3" t="s">
        <v>2081</v>
      </c>
      <c r="G936" s="5"/>
      <c r="H936" s="3" t="s">
        <v>2082</v>
      </c>
      <c r="I936" s="3">
        <v>7</v>
      </c>
      <c r="J936" s="4">
        <v>41337</v>
      </c>
      <c r="K936" s="6">
        <v>0.47916666666666669</v>
      </c>
      <c r="L936" s="3">
        <v>18</v>
      </c>
      <c r="M936" s="3" t="s">
        <v>2083</v>
      </c>
      <c r="N936" s="3" t="s">
        <v>2084</v>
      </c>
      <c r="O936" s="5"/>
      <c r="P936" s="3" t="s">
        <v>22</v>
      </c>
      <c r="Q936" s="7"/>
      <c r="R936" s="7"/>
    </row>
    <row r="937" spans="1:18" ht="153" x14ac:dyDescent="0.25">
      <c r="A937" s="3" t="s">
        <v>18</v>
      </c>
      <c r="B937" s="3">
        <v>2013</v>
      </c>
      <c r="C937" s="3" t="s">
        <v>2058</v>
      </c>
      <c r="D937" s="3" t="str">
        <f>"105 / 2013"</f>
        <v>105 / 2013</v>
      </c>
      <c r="E937" s="4">
        <v>41340</v>
      </c>
      <c r="F937" s="3" t="s">
        <v>2085</v>
      </c>
      <c r="G937" s="5"/>
      <c r="H937" s="3" t="s">
        <v>2086</v>
      </c>
      <c r="I937" s="3">
        <v>7</v>
      </c>
      <c r="J937" s="4">
        <v>41337</v>
      </c>
      <c r="K937" s="6">
        <v>0.47916666666666669</v>
      </c>
      <c r="L937" s="3">
        <v>19</v>
      </c>
      <c r="M937" s="3" t="s">
        <v>2087</v>
      </c>
      <c r="N937" s="3" t="s">
        <v>2088</v>
      </c>
      <c r="O937" s="5"/>
      <c r="P937" s="3" t="s">
        <v>22</v>
      </c>
      <c r="Q937" s="7"/>
      <c r="R937" s="7"/>
    </row>
    <row r="938" spans="1:18" ht="153" x14ac:dyDescent="0.25">
      <c r="A938" s="3" t="s">
        <v>18</v>
      </c>
      <c r="B938" s="3">
        <v>2013</v>
      </c>
      <c r="C938" s="3" t="s">
        <v>2058</v>
      </c>
      <c r="D938" s="3" t="str">
        <f>"106 / 2013"</f>
        <v>106 / 2013</v>
      </c>
      <c r="E938" s="4">
        <v>41338</v>
      </c>
      <c r="F938" s="3" t="s">
        <v>2089</v>
      </c>
      <c r="G938" s="5"/>
      <c r="H938" s="3" t="s">
        <v>2090</v>
      </c>
      <c r="I938" s="3">
        <v>7</v>
      </c>
      <c r="J938" s="4">
        <v>41337</v>
      </c>
      <c r="K938" s="6">
        <v>0.47916666666666669</v>
      </c>
      <c r="L938" s="3">
        <v>20</v>
      </c>
      <c r="M938" s="3" t="s">
        <v>2087</v>
      </c>
      <c r="N938" s="3" t="s">
        <v>2088</v>
      </c>
      <c r="O938" s="5"/>
      <c r="P938" s="3" t="s">
        <v>22</v>
      </c>
      <c r="Q938" s="7"/>
      <c r="R938" s="7"/>
    </row>
    <row r="939" spans="1:18" ht="63.75" x14ac:dyDescent="0.25">
      <c r="A939" s="3" t="s">
        <v>18</v>
      </c>
      <c r="B939" s="3">
        <v>2013</v>
      </c>
      <c r="C939" s="3" t="s">
        <v>2058</v>
      </c>
      <c r="D939" s="3" t="str">
        <f>"107/ 2013"</f>
        <v>107/ 2013</v>
      </c>
      <c r="E939" s="4">
        <v>41338</v>
      </c>
      <c r="F939" s="3" t="s">
        <v>2091</v>
      </c>
      <c r="G939" s="5"/>
      <c r="H939" s="3" t="s">
        <v>2092</v>
      </c>
      <c r="I939" s="3">
        <v>7</v>
      </c>
      <c r="J939" s="4">
        <v>41337</v>
      </c>
      <c r="K939" s="6">
        <v>0.47916666666666669</v>
      </c>
      <c r="L939" s="3">
        <v>21</v>
      </c>
      <c r="M939" s="3" t="s">
        <v>2061</v>
      </c>
      <c r="N939" s="3" t="s">
        <v>2061</v>
      </c>
      <c r="O939" s="5"/>
      <c r="P939" s="3" t="s">
        <v>22</v>
      </c>
      <c r="Q939" s="7"/>
      <c r="R939" s="7"/>
    </row>
    <row r="940" spans="1:18" ht="63.75" x14ac:dyDescent="0.25">
      <c r="A940" s="3" t="s">
        <v>18</v>
      </c>
      <c r="B940" s="3">
        <v>2013</v>
      </c>
      <c r="C940" s="3" t="s">
        <v>2058</v>
      </c>
      <c r="D940" s="3" t="str">
        <f>"108 / 2013"</f>
        <v>108 / 2013</v>
      </c>
      <c r="E940" s="4">
        <v>41338</v>
      </c>
      <c r="F940" s="3" t="s">
        <v>2093</v>
      </c>
      <c r="G940" s="5"/>
      <c r="H940" s="3" t="s">
        <v>2094</v>
      </c>
      <c r="I940" s="3">
        <v>7</v>
      </c>
      <c r="J940" s="4">
        <v>41337</v>
      </c>
      <c r="K940" s="6">
        <v>0.47916666666666669</v>
      </c>
      <c r="L940" s="3">
        <v>22</v>
      </c>
      <c r="M940" s="3" t="s">
        <v>2061</v>
      </c>
      <c r="N940" s="3" t="s">
        <v>2061</v>
      </c>
      <c r="O940" s="5"/>
      <c r="P940" s="3" t="s">
        <v>22</v>
      </c>
      <c r="Q940" s="7"/>
      <c r="R940" s="7"/>
    </row>
    <row r="941" spans="1:18" ht="51" x14ac:dyDescent="0.25">
      <c r="A941" s="3" t="s">
        <v>18</v>
      </c>
      <c r="B941" s="3">
        <v>2013</v>
      </c>
      <c r="C941" s="3" t="s">
        <v>2058</v>
      </c>
      <c r="D941" s="3" t="str">
        <f>"109 / 2013"</f>
        <v>109 / 2013</v>
      </c>
      <c r="E941" s="4">
        <v>41338</v>
      </c>
      <c r="F941" s="3" t="s">
        <v>2095</v>
      </c>
      <c r="G941" s="5"/>
      <c r="H941" s="3" t="s">
        <v>2096</v>
      </c>
      <c r="I941" s="3">
        <v>7</v>
      </c>
      <c r="J941" s="4">
        <v>41337</v>
      </c>
      <c r="K941" s="6">
        <v>0.47916666666666669</v>
      </c>
      <c r="L941" s="3">
        <v>23</v>
      </c>
      <c r="M941" s="3" t="s">
        <v>2061</v>
      </c>
      <c r="N941" s="3" t="s">
        <v>2061</v>
      </c>
      <c r="O941" s="5"/>
      <c r="P941" s="3" t="s">
        <v>22</v>
      </c>
      <c r="Q941" s="7"/>
      <c r="R941" s="7"/>
    </row>
    <row r="942" spans="1:18" ht="63.75" x14ac:dyDescent="0.25">
      <c r="A942" s="3" t="s">
        <v>18</v>
      </c>
      <c r="B942" s="3">
        <v>2013</v>
      </c>
      <c r="C942" s="3" t="s">
        <v>2058</v>
      </c>
      <c r="D942" s="3" t="str">
        <f>"11 / 2013"</f>
        <v>11 / 2013</v>
      </c>
      <c r="E942" s="4">
        <v>41302</v>
      </c>
      <c r="F942" s="3" t="s">
        <v>2097</v>
      </c>
      <c r="G942" s="5"/>
      <c r="H942" s="3" t="s">
        <v>2098</v>
      </c>
      <c r="I942" s="3">
        <v>1</v>
      </c>
      <c r="J942" s="4">
        <v>41295</v>
      </c>
      <c r="K942" s="6">
        <v>0.5</v>
      </c>
      <c r="L942" s="3">
        <v>11</v>
      </c>
      <c r="M942" s="3" t="s">
        <v>2099</v>
      </c>
      <c r="N942" s="3" t="s">
        <v>2099</v>
      </c>
      <c r="O942" s="5"/>
      <c r="P942" s="3" t="s">
        <v>22</v>
      </c>
      <c r="Q942" s="7"/>
      <c r="R942" s="7"/>
    </row>
    <row r="943" spans="1:18" ht="76.5" x14ac:dyDescent="0.25">
      <c r="A943" s="3" t="s">
        <v>18</v>
      </c>
      <c r="B943" s="3">
        <v>2013</v>
      </c>
      <c r="C943" s="3" t="s">
        <v>2058</v>
      </c>
      <c r="D943" s="3" t="str">
        <f>"110 / 2013"</f>
        <v>110 / 2013</v>
      </c>
      <c r="E943" s="4">
        <v>41344</v>
      </c>
      <c r="F943" s="3" t="s">
        <v>2100</v>
      </c>
      <c r="G943" s="5"/>
      <c r="H943" s="3" t="s">
        <v>2101</v>
      </c>
      <c r="I943" s="3">
        <v>7</v>
      </c>
      <c r="J943" s="4">
        <v>41337</v>
      </c>
      <c r="K943" s="6">
        <v>0.47916666666666669</v>
      </c>
      <c r="L943" s="3">
        <v>24</v>
      </c>
      <c r="M943" s="3" t="s">
        <v>2102</v>
      </c>
      <c r="N943" s="3" t="s">
        <v>2102</v>
      </c>
      <c r="O943" s="5"/>
      <c r="P943" s="3" t="s">
        <v>22</v>
      </c>
      <c r="Q943" s="7"/>
      <c r="R943" s="7"/>
    </row>
    <row r="944" spans="1:18" ht="102" x14ac:dyDescent="0.25">
      <c r="A944" s="3" t="s">
        <v>18</v>
      </c>
      <c r="B944" s="3">
        <v>2013</v>
      </c>
      <c r="C944" s="3" t="s">
        <v>2058</v>
      </c>
      <c r="D944" s="3" t="str">
        <f>"111 / 2013"</f>
        <v>111 / 2013</v>
      </c>
      <c r="E944" s="4">
        <v>41338</v>
      </c>
      <c r="F944" s="3" t="s">
        <v>2103</v>
      </c>
      <c r="G944" s="5"/>
      <c r="H944" s="3" t="s">
        <v>2104</v>
      </c>
      <c r="I944" s="3">
        <v>7</v>
      </c>
      <c r="J944" s="4">
        <v>41337</v>
      </c>
      <c r="K944" s="6">
        <v>0.47916666666666669</v>
      </c>
      <c r="L944" s="5"/>
      <c r="M944" s="3" t="s">
        <v>2105</v>
      </c>
      <c r="N944" s="3" t="s">
        <v>2105</v>
      </c>
      <c r="O944" s="5"/>
      <c r="P944" s="3" t="s">
        <v>74</v>
      </c>
      <c r="Q944" s="7"/>
      <c r="R944" s="7"/>
    </row>
    <row r="945" spans="1:18" ht="76.5" x14ac:dyDescent="0.25">
      <c r="A945" s="3" t="s">
        <v>18</v>
      </c>
      <c r="B945" s="3">
        <v>2013</v>
      </c>
      <c r="C945" s="3" t="s">
        <v>2058</v>
      </c>
      <c r="D945" s="3" t="str">
        <f>"112 / 2013"</f>
        <v>112 / 2013</v>
      </c>
      <c r="E945" s="4">
        <v>41338</v>
      </c>
      <c r="F945" s="3" t="s">
        <v>2106</v>
      </c>
      <c r="G945" s="5"/>
      <c r="H945" s="3" t="s">
        <v>2107</v>
      </c>
      <c r="I945" s="3">
        <v>7</v>
      </c>
      <c r="J945" s="4">
        <v>41337</v>
      </c>
      <c r="K945" s="6">
        <v>0.47916666666666669</v>
      </c>
      <c r="L945" s="5"/>
      <c r="M945" s="3" t="s">
        <v>2102</v>
      </c>
      <c r="N945" s="3" t="s">
        <v>2102</v>
      </c>
      <c r="O945" s="5"/>
      <c r="P945" s="3" t="s">
        <v>74</v>
      </c>
      <c r="Q945" s="7"/>
      <c r="R945" s="7"/>
    </row>
    <row r="946" spans="1:18" ht="76.5" x14ac:dyDescent="0.25">
      <c r="A946" s="3" t="s">
        <v>18</v>
      </c>
      <c r="B946" s="3">
        <v>2013</v>
      </c>
      <c r="C946" s="3" t="s">
        <v>2058</v>
      </c>
      <c r="D946" s="3" t="str">
        <f>"113 / 2013"</f>
        <v>113 / 2013</v>
      </c>
      <c r="E946" s="4">
        <v>41338</v>
      </c>
      <c r="F946" s="3" t="s">
        <v>2108</v>
      </c>
      <c r="G946" s="5"/>
      <c r="H946" s="3" t="s">
        <v>2109</v>
      </c>
      <c r="I946" s="3">
        <v>7</v>
      </c>
      <c r="J946" s="4">
        <v>41337</v>
      </c>
      <c r="K946" s="6">
        <v>0.47916666666666669</v>
      </c>
      <c r="L946" s="5"/>
      <c r="M946" s="3" t="s">
        <v>2110</v>
      </c>
      <c r="N946" s="3" t="s">
        <v>2110</v>
      </c>
      <c r="O946" s="5"/>
      <c r="P946" s="3" t="s">
        <v>74</v>
      </c>
      <c r="Q946" s="7"/>
      <c r="R946" s="7"/>
    </row>
    <row r="947" spans="1:18" ht="89.25" x14ac:dyDescent="0.25">
      <c r="A947" s="3" t="s">
        <v>18</v>
      </c>
      <c r="B947" s="3">
        <v>2013</v>
      </c>
      <c r="C947" s="3" t="s">
        <v>2058</v>
      </c>
      <c r="D947" s="3" t="str">
        <f>"114 / 2013"</f>
        <v>114 / 2013</v>
      </c>
      <c r="E947" s="4">
        <v>41354</v>
      </c>
      <c r="F947" s="3" t="s">
        <v>2111</v>
      </c>
      <c r="G947" s="5"/>
      <c r="H947" s="3" t="s">
        <v>2112</v>
      </c>
      <c r="I947" s="3">
        <v>9</v>
      </c>
      <c r="J947" s="4">
        <v>41347</v>
      </c>
      <c r="K947" s="6">
        <v>0.5</v>
      </c>
      <c r="L947" s="3">
        <v>1</v>
      </c>
      <c r="M947" s="3" t="s">
        <v>29</v>
      </c>
      <c r="N947" s="3" t="s">
        <v>29</v>
      </c>
      <c r="O947" s="5"/>
      <c r="P947" s="3" t="s">
        <v>22</v>
      </c>
      <c r="Q947" s="7"/>
      <c r="R947" s="7"/>
    </row>
    <row r="948" spans="1:18" ht="127.5" x14ac:dyDescent="0.25">
      <c r="A948" s="3" t="s">
        <v>18</v>
      </c>
      <c r="B948" s="3">
        <v>2013</v>
      </c>
      <c r="C948" s="3" t="s">
        <v>2058</v>
      </c>
      <c r="D948" s="3" t="str">
        <f>"116 / 2013"</f>
        <v>116 / 2013</v>
      </c>
      <c r="E948" s="4">
        <v>41355</v>
      </c>
      <c r="F948" s="3" t="s">
        <v>2113</v>
      </c>
      <c r="G948" s="5"/>
      <c r="H948" s="3" t="s">
        <v>2114</v>
      </c>
      <c r="I948" s="3">
        <v>9</v>
      </c>
      <c r="J948" s="4">
        <v>41347</v>
      </c>
      <c r="K948" s="6">
        <v>0.5</v>
      </c>
      <c r="L948" s="3">
        <v>3</v>
      </c>
      <c r="M948" s="3" t="s">
        <v>2088</v>
      </c>
      <c r="N948" s="3" t="s">
        <v>2088</v>
      </c>
      <c r="O948" s="5"/>
      <c r="P948" s="3" t="s">
        <v>22</v>
      </c>
      <c r="Q948" s="7"/>
      <c r="R948" s="7"/>
    </row>
    <row r="949" spans="1:18" ht="51" x14ac:dyDescent="0.25">
      <c r="A949" s="3" t="s">
        <v>18</v>
      </c>
      <c r="B949" s="3">
        <v>2013</v>
      </c>
      <c r="C949" s="3" t="s">
        <v>2058</v>
      </c>
      <c r="D949" s="3" t="str">
        <f>"117 / 2013"</f>
        <v>117 / 2013</v>
      </c>
      <c r="E949" s="4">
        <v>41352</v>
      </c>
      <c r="F949" s="3" t="s">
        <v>2115</v>
      </c>
      <c r="G949" s="5"/>
      <c r="H949" s="3" t="s">
        <v>2116</v>
      </c>
      <c r="I949" s="3">
        <v>9</v>
      </c>
      <c r="J949" s="4">
        <v>41347</v>
      </c>
      <c r="K949" s="6">
        <v>0.5</v>
      </c>
      <c r="L949" s="3">
        <v>4</v>
      </c>
      <c r="M949" s="3" t="s">
        <v>2117</v>
      </c>
      <c r="N949" s="3" t="s">
        <v>2117</v>
      </c>
      <c r="O949" s="5"/>
      <c r="P949" s="3" t="s">
        <v>22</v>
      </c>
      <c r="Q949" s="7"/>
      <c r="R949" s="7"/>
    </row>
    <row r="950" spans="1:18" ht="76.5" x14ac:dyDescent="0.25">
      <c r="A950" s="3" t="s">
        <v>18</v>
      </c>
      <c r="B950" s="3">
        <v>2013</v>
      </c>
      <c r="C950" s="3" t="s">
        <v>2058</v>
      </c>
      <c r="D950" s="3" t="str">
        <f>"118 / 2013"</f>
        <v>118 / 2013</v>
      </c>
      <c r="E950" s="4">
        <v>41352</v>
      </c>
      <c r="F950" s="3" t="s">
        <v>2118</v>
      </c>
      <c r="G950" s="5"/>
      <c r="H950" s="3" t="s">
        <v>2119</v>
      </c>
      <c r="I950" s="3">
        <v>9</v>
      </c>
      <c r="J950" s="4">
        <v>41347</v>
      </c>
      <c r="K950" s="6">
        <v>0.5</v>
      </c>
      <c r="L950" s="3">
        <v>5</v>
      </c>
      <c r="M950" s="3" t="s">
        <v>2102</v>
      </c>
      <c r="N950" s="3" t="s">
        <v>2102</v>
      </c>
      <c r="O950" s="5"/>
      <c r="P950" s="3" t="s">
        <v>22</v>
      </c>
      <c r="Q950" s="7"/>
      <c r="R950" s="7"/>
    </row>
    <row r="951" spans="1:18" ht="76.5" x14ac:dyDescent="0.25">
      <c r="A951" s="3" t="s">
        <v>18</v>
      </c>
      <c r="B951" s="3">
        <v>2013</v>
      </c>
      <c r="C951" s="3" t="s">
        <v>2058</v>
      </c>
      <c r="D951" s="3" t="str">
        <f>"119 / 2013"</f>
        <v>119 / 2013</v>
      </c>
      <c r="E951" s="4">
        <v>41352</v>
      </c>
      <c r="F951" s="3" t="s">
        <v>2120</v>
      </c>
      <c r="G951" s="5"/>
      <c r="H951" s="3" t="s">
        <v>2121</v>
      </c>
      <c r="I951" s="3">
        <v>9</v>
      </c>
      <c r="J951" s="4">
        <v>41347</v>
      </c>
      <c r="K951" s="6">
        <v>0.5</v>
      </c>
      <c r="L951" s="3">
        <v>6</v>
      </c>
      <c r="M951" s="3" t="s">
        <v>2122</v>
      </c>
      <c r="N951" s="3" t="s">
        <v>2122</v>
      </c>
      <c r="O951" s="5"/>
      <c r="P951" s="3" t="s">
        <v>22</v>
      </c>
      <c r="Q951" s="7"/>
      <c r="R951" s="7"/>
    </row>
    <row r="952" spans="1:18" ht="76.5" x14ac:dyDescent="0.25">
      <c r="A952" s="3" t="s">
        <v>18</v>
      </c>
      <c r="B952" s="3">
        <v>2013</v>
      </c>
      <c r="C952" s="3" t="s">
        <v>2058</v>
      </c>
      <c r="D952" s="3" t="str">
        <f>"12 / 2013"</f>
        <v>12 / 2013</v>
      </c>
      <c r="E952" s="4">
        <v>41299</v>
      </c>
      <c r="F952" s="3" t="s">
        <v>2123</v>
      </c>
      <c r="G952" s="5"/>
      <c r="H952" s="3" t="s">
        <v>2124</v>
      </c>
      <c r="I952" s="3">
        <v>1</v>
      </c>
      <c r="J952" s="4">
        <v>41295</v>
      </c>
      <c r="K952" s="6">
        <v>0.5</v>
      </c>
      <c r="L952" s="3">
        <v>12</v>
      </c>
      <c r="M952" s="3" t="s">
        <v>2102</v>
      </c>
      <c r="N952" s="3" t="s">
        <v>2102</v>
      </c>
      <c r="O952" s="5"/>
      <c r="P952" s="3" t="s">
        <v>22</v>
      </c>
      <c r="Q952" s="7"/>
      <c r="R952" s="7"/>
    </row>
    <row r="953" spans="1:18" ht="89.25" x14ac:dyDescent="0.25">
      <c r="A953" s="3" t="s">
        <v>18</v>
      </c>
      <c r="B953" s="3">
        <v>2013</v>
      </c>
      <c r="C953" s="3" t="s">
        <v>2058</v>
      </c>
      <c r="D953" s="3" t="str">
        <f>"120 / 2013"</f>
        <v>120 / 2013</v>
      </c>
      <c r="E953" s="4">
        <v>41354</v>
      </c>
      <c r="F953" s="3" t="s">
        <v>2125</v>
      </c>
      <c r="G953" s="5"/>
      <c r="H953" s="3" t="s">
        <v>2126</v>
      </c>
      <c r="I953" s="3">
        <v>9</v>
      </c>
      <c r="J953" s="4">
        <v>41347</v>
      </c>
      <c r="K953" s="6">
        <v>0.5</v>
      </c>
      <c r="L953" s="3">
        <v>7</v>
      </c>
      <c r="M953" s="3" t="s">
        <v>35</v>
      </c>
      <c r="N953" s="3" t="s">
        <v>35</v>
      </c>
      <c r="O953" s="5"/>
      <c r="P953" s="3" t="s">
        <v>22</v>
      </c>
      <c r="Q953" s="7"/>
      <c r="R953" s="7"/>
    </row>
    <row r="954" spans="1:18" ht="102" x14ac:dyDescent="0.25">
      <c r="A954" s="3" t="s">
        <v>18</v>
      </c>
      <c r="B954" s="3">
        <v>2013</v>
      </c>
      <c r="C954" s="3" t="s">
        <v>2058</v>
      </c>
      <c r="D954" s="3" t="str">
        <f>"121 / 2013"</f>
        <v>121 / 2013</v>
      </c>
      <c r="E954" s="4">
        <v>41352</v>
      </c>
      <c r="F954" s="3" t="s">
        <v>2127</v>
      </c>
      <c r="G954" s="5"/>
      <c r="H954" s="3" t="s">
        <v>2128</v>
      </c>
      <c r="I954" s="3">
        <v>9</v>
      </c>
      <c r="J954" s="4">
        <v>41347</v>
      </c>
      <c r="K954" s="6">
        <v>0.5</v>
      </c>
      <c r="L954" s="3">
        <v>8</v>
      </c>
      <c r="M954" s="3" t="s">
        <v>2129</v>
      </c>
      <c r="N954" s="3" t="s">
        <v>2129</v>
      </c>
      <c r="O954" s="5"/>
      <c r="P954" s="3" t="s">
        <v>22</v>
      </c>
      <c r="Q954" s="7"/>
      <c r="R954" s="7"/>
    </row>
    <row r="955" spans="1:18" ht="51" x14ac:dyDescent="0.25">
      <c r="A955" s="3" t="s">
        <v>18</v>
      </c>
      <c r="B955" s="3">
        <v>2013</v>
      </c>
      <c r="C955" s="3" t="s">
        <v>2058</v>
      </c>
      <c r="D955" s="3" t="str">
        <f>"123 / 2013"</f>
        <v>123 / 2013</v>
      </c>
      <c r="E955" s="4">
        <v>41352</v>
      </c>
      <c r="F955" s="3" t="s">
        <v>2130</v>
      </c>
      <c r="G955" s="5"/>
      <c r="H955" s="3" t="s">
        <v>2131</v>
      </c>
      <c r="I955" s="3">
        <v>9</v>
      </c>
      <c r="J955" s="4">
        <v>41347</v>
      </c>
      <c r="K955" s="6">
        <v>0.5</v>
      </c>
      <c r="L955" s="3">
        <v>10</v>
      </c>
      <c r="M955" s="3" t="s">
        <v>2132</v>
      </c>
      <c r="N955" s="3" t="s">
        <v>2132</v>
      </c>
      <c r="O955" s="5"/>
      <c r="P955" s="3" t="s">
        <v>22</v>
      </c>
      <c r="Q955" s="7"/>
      <c r="R955" s="7"/>
    </row>
    <row r="956" spans="1:18" ht="76.5" x14ac:dyDescent="0.25">
      <c r="A956" s="3" t="s">
        <v>18</v>
      </c>
      <c r="B956" s="3">
        <v>2013</v>
      </c>
      <c r="C956" s="3" t="s">
        <v>2058</v>
      </c>
      <c r="D956" s="3" t="str">
        <f>"124 / 2013"</f>
        <v>124 / 2013</v>
      </c>
      <c r="E956" s="4">
        <v>41355</v>
      </c>
      <c r="F956" s="3" t="s">
        <v>2133</v>
      </c>
      <c r="G956" s="5"/>
      <c r="H956" s="3" t="s">
        <v>2134</v>
      </c>
      <c r="I956" s="3">
        <v>9</v>
      </c>
      <c r="J956" s="4">
        <v>41347</v>
      </c>
      <c r="K956" s="6">
        <v>0.5</v>
      </c>
      <c r="L956" s="5"/>
      <c r="M956" s="3" t="s">
        <v>2102</v>
      </c>
      <c r="N956" s="3" t="s">
        <v>2102</v>
      </c>
      <c r="O956" s="5"/>
      <c r="P956" s="3" t="s">
        <v>74</v>
      </c>
      <c r="Q956" s="7"/>
      <c r="R956" s="7"/>
    </row>
    <row r="957" spans="1:18" ht="102" x14ac:dyDescent="0.25">
      <c r="A957" s="3" t="s">
        <v>18</v>
      </c>
      <c r="B957" s="3">
        <v>2013</v>
      </c>
      <c r="C957" s="3" t="s">
        <v>2058</v>
      </c>
      <c r="D957" s="3" t="str">
        <f>"125 / 2013"</f>
        <v>125 / 2013</v>
      </c>
      <c r="E957" s="4">
        <v>41352</v>
      </c>
      <c r="F957" s="3" t="s">
        <v>2135</v>
      </c>
      <c r="G957" s="5"/>
      <c r="H957" s="3" t="s">
        <v>2136</v>
      </c>
      <c r="I957" s="3">
        <v>9</v>
      </c>
      <c r="J957" s="4">
        <v>41347</v>
      </c>
      <c r="K957" s="6">
        <v>0.5</v>
      </c>
      <c r="L957" s="5"/>
      <c r="M957" s="3" t="s">
        <v>2099</v>
      </c>
      <c r="N957" s="3" t="s">
        <v>2099</v>
      </c>
      <c r="O957" s="5"/>
      <c r="P957" s="3" t="s">
        <v>22</v>
      </c>
      <c r="Q957" s="7"/>
      <c r="R957" s="7"/>
    </row>
    <row r="958" spans="1:18" ht="89.25" x14ac:dyDescent="0.25">
      <c r="A958" s="3" t="s">
        <v>18</v>
      </c>
      <c r="B958" s="3">
        <v>2013</v>
      </c>
      <c r="C958" s="3" t="s">
        <v>2058</v>
      </c>
      <c r="D958" s="3" t="str">
        <f>"126 / 2013"</f>
        <v>126 / 2013</v>
      </c>
      <c r="E958" s="4">
        <v>41352</v>
      </c>
      <c r="F958" s="3" t="s">
        <v>2137</v>
      </c>
      <c r="G958" s="5"/>
      <c r="H958" s="3" t="s">
        <v>2138</v>
      </c>
      <c r="I958" s="3">
        <v>9</v>
      </c>
      <c r="J958" s="4">
        <v>41347</v>
      </c>
      <c r="K958" s="6">
        <v>0.5</v>
      </c>
      <c r="L958" s="5"/>
      <c r="M958" s="3" t="s">
        <v>2099</v>
      </c>
      <c r="N958" s="3" t="s">
        <v>2099</v>
      </c>
      <c r="O958" s="5"/>
      <c r="P958" s="3" t="s">
        <v>74</v>
      </c>
      <c r="Q958" s="7"/>
      <c r="R958" s="7"/>
    </row>
    <row r="959" spans="1:18" ht="89.25" x14ac:dyDescent="0.25">
      <c r="A959" s="3" t="s">
        <v>18</v>
      </c>
      <c r="B959" s="3">
        <v>2013</v>
      </c>
      <c r="C959" s="3" t="s">
        <v>2058</v>
      </c>
      <c r="D959" s="3" t="str">
        <f>"127 / 2013"</f>
        <v>127 / 2013</v>
      </c>
      <c r="E959" s="4">
        <v>41348</v>
      </c>
      <c r="F959" s="3" t="s">
        <v>2139</v>
      </c>
      <c r="G959" s="5"/>
      <c r="H959" s="3" t="s">
        <v>2140</v>
      </c>
      <c r="I959" s="3">
        <v>9</v>
      </c>
      <c r="J959" s="4">
        <v>41347</v>
      </c>
      <c r="K959" s="6">
        <v>0.5</v>
      </c>
      <c r="L959" s="5"/>
      <c r="M959" s="3" t="s">
        <v>2099</v>
      </c>
      <c r="N959" s="3" t="s">
        <v>2099</v>
      </c>
      <c r="O959" s="5"/>
      <c r="P959" s="3" t="s">
        <v>22</v>
      </c>
      <c r="Q959" s="7"/>
      <c r="R959" s="7"/>
    </row>
    <row r="960" spans="1:18" ht="76.5" x14ac:dyDescent="0.25">
      <c r="A960" s="3" t="s">
        <v>18</v>
      </c>
      <c r="B960" s="3">
        <v>2013</v>
      </c>
      <c r="C960" s="3" t="s">
        <v>2058</v>
      </c>
      <c r="D960" s="3" t="str">
        <f>"128 / 2013"</f>
        <v>128 / 2013</v>
      </c>
      <c r="E960" s="4">
        <v>41348</v>
      </c>
      <c r="F960" s="3" t="s">
        <v>2141</v>
      </c>
      <c r="G960" s="5"/>
      <c r="H960" s="3" t="s">
        <v>2142</v>
      </c>
      <c r="I960" s="3">
        <v>9</v>
      </c>
      <c r="J960" s="4">
        <v>41347</v>
      </c>
      <c r="K960" s="6">
        <v>0.5</v>
      </c>
      <c r="L960" s="5"/>
      <c r="M960" s="3" t="s">
        <v>2061</v>
      </c>
      <c r="N960" s="3" t="s">
        <v>2061</v>
      </c>
      <c r="O960" s="5"/>
      <c r="P960" s="3" t="s">
        <v>74</v>
      </c>
      <c r="Q960" s="7"/>
      <c r="R960" s="7"/>
    </row>
    <row r="961" spans="1:18" ht="76.5" x14ac:dyDescent="0.25">
      <c r="A961" s="3" t="s">
        <v>18</v>
      </c>
      <c r="B961" s="3">
        <v>2013</v>
      </c>
      <c r="C961" s="3" t="s">
        <v>2058</v>
      </c>
      <c r="D961" s="3" t="str">
        <f>"129 / 2013"</f>
        <v>129 / 2013</v>
      </c>
      <c r="E961" s="4">
        <v>41348</v>
      </c>
      <c r="F961" s="3" t="s">
        <v>2143</v>
      </c>
      <c r="G961" s="5"/>
      <c r="H961" s="3" t="s">
        <v>2144</v>
      </c>
      <c r="I961" s="3">
        <v>9</v>
      </c>
      <c r="J961" s="4">
        <v>41347</v>
      </c>
      <c r="K961" s="6">
        <v>0.5</v>
      </c>
      <c r="L961" s="5"/>
      <c r="M961" s="3" t="s">
        <v>2102</v>
      </c>
      <c r="N961" s="3" t="s">
        <v>2102</v>
      </c>
      <c r="O961" s="5"/>
      <c r="P961" s="3" t="s">
        <v>74</v>
      </c>
      <c r="Q961" s="7"/>
      <c r="R961" s="7"/>
    </row>
    <row r="962" spans="1:18" ht="89.25" x14ac:dyDescent="0.25">
      <c r="A962" s="3" t="s">
        <v>18</v>
      </c>
      <c r="B962" s="3">
        <v>2013</v>
      </c>
      <c r="C962" s="3" t="s">
        <v>2058</v>
      </c>
      <c r="D962" s="3" t="str">
        <f>"13 / 2013"</f>
        <v>13 / 2013</v>
      </c>
      <c r="E962" s="4">
        <v>41297</v>
      </c>
      <c r="F962" s="3" t="s">
        <v>2145</v>
      </c>
      <c r="G962" s="5"/>
      <c r="H962" s="3" t="s">
        <v>2146</v>
      </c>
      <c r="I962" s="3">
        <v>1</v>
      </c>
      <c r="J962" s="4">
        <v>41295</v>
      </c>
      <c r="K962" s="6">
        <v>0.5</v>
      </c>
      <c r="L962" s="3">
        <v>13</v>
      </c>
      <c r="M962" s="3" t="s">
        <v>2147</v>
      </c>
      <c r="N962" s="3" t="s">
        <v>2147</v>
      </c>
      <c r="O962" s="5"/>
      <c r="P962" s="3" t="s">
        <v>22</v>
      </c>
      <c r="Q962" s="7"/>
      <c r="R962" s="7"/>
    </row>
    <row r="963" spans="1:18" ht="89.25" x14ac:dyDescent="0.25">
      <c r="A963" s="3" t="s">
        <v>18</v>
      </c>
      <c r="B963" s="3">
        <v>2013</v>
      </c>
      <c r="C963" s="3" t="s">
        <v>2058</v>
      </c>
      <c r="D963" s="3" t="str">
        <f>"130 / 2013"</f>
        <v>130 / 2013</v>
      </c>
      <c r="E963" s="4">
        <v>41355</v>
      </c>
      <c r="F963" s="3" t="s">
        <v>2148</v>
      </c>
      <c r="G963" s="5"/>
      <c r="H963" s="3" t="s">
        <v>2149</v>
      </c>
      <c r="I963" s="3">
        <v>9</v>
      </c>
      <c r="J963" s="4">
        <v>41347</v>
      </c>
      <c r="K963" s="6">
        <v>0.5</v>
      </c>
      <c r="L963" s="5"/>
      <c r="M963" s="3" t="s">
        <v>2150</v>
      </c>
      <c r="N963" s="3" t="s">
        <v>2150</v>
      </c>
      <c r="O963" s="5"/>
      <c r="P963" s="3" t="s">
        <v>22</v>
      </c>
      <c r="Q963" s="7"/>
      <c r="R963" s="7"/>
    </row>
    <row r="964" spans="1:18" ht="102" x14ac:dyDescent="0.25">
      <c r="A964" s="3" t="s">
        <v>18</v>
      </c>
      <c r="B964" s="3">
        <v>2013</v>
      </c>
      <c r="C964" s="3" t="s">
        <v>2058</v>
      </c>
      <c r="D964" s="3" t="str">
        <f>"131 / 2013"</f>
        <v>131 / 2013</v>
      </c>
      <c r="E964" s="4">
        <v>41354</v>
      </c>
      <c r="F964" s="3" t="s">
        <v>2151</v>
      </c>
      <c r="G964" s="5"/>
      <c r="H964" s="3" t="s">
        <v>2152</v>
      </c>
      <c r="I964" s="3">
        <v>9</v>
      </c>
      <c r="J964" s="4">
        <v>41347</v>
      </c>
      <c r="K964" s="6">
        <v>0.5</v>
      </c>
      <c r="L964" s="5"/>
      <c r="M964" s="3" t="s">
        <v>2129</v>
      </c>
      <c r="N964" s="3" t="s">
        <v>2129</v>
      </c>
      <c r="O964" s="5"/>
      <c r="P964" s="3" t="s">
        <v>74</v>
      </c>
      <c r="Q964" s="7"/>
      <c r="R964" s="7"/>
    </row>
    <row r="965" spans="1:18" ht="76.5" x14ac:dyDescent="0.25">
      <c r="A965" s="3" t="s">
        <v>18</v>
      </c>
      <c r="B965" s="3">
        <v>2013</v>
      </c>
      <c r="C965" s="3" t="s">
        <v>2058</v>
      </c>
      <c r="D965" s="3" t="str">
        <f>"132/ 2013"</f>
        <v>132/ 2013</v>
      </c>
      <c r="E965" s="4">
        <v>41348</v>
      </c>
      <c r="F965" s="3" t="s">
        <v>2153</v>
      </c>
      <c r="G965" s="5"/>
      <c r="H965" s="3" t="s">
        <v>2154</v>
      </c>
      <c r="I965" s="3">
        <v>9</v>
      </c>
      <c r="J965" s="4">
        <v>41347</v>
      </c>
      <c r="K965" s="6">
        <v>0.5</v>
      </c>
      <c r="L965" s="5"/>
      <c r="M965" s="3" t="s">
        <v>2102</v>
      </c>
      <c r="N965" s="3" t="s">
        <v>2102</v>
      </c>
      <c r="O965" s="5"/>
      <c r="P965" s="3" t="s">
        <v>74</v>
      </c>
      <c r="Q965" s="7"/>
      <c r="R965" s="7"/>
    </row>
    <row r="966" spans="1:18" ht="89.25" x14ac:dyDescent="0.25">
      <c r="A966" s="3" t="s">
        <v>18</v>
      </c>
      <c r="B966" s="3">
        <v>2013</v>
      </c>
      <c r="C966" s="3" t="s">
        <v>2058</v>
      </c>
      <c r="D966" s="3" t="str">
        <f>"133 / 2013"</f>
        <v>133 / 2013</v>
      </c>
      <c r="E966" s="4">
        <v>41348</v>
      </c>
      <c r="F966" s="3" t="s">
        <v>2155</v>
      </c>
      <c r="G966" s="5"/>
      <c r="H966" s="3" t="s">
        <v>2156</v>
      </c>
      <c r="I966" s="3">
        <v>9</v>
      </c>
      <c r="J966" s="4">
        <v>41347</v>
      </c>
      <c r="K966" s="6">
        <v>0.5</v>
      </c>
      <c r="L966" s="5"/>
      <c r="M966" s="3" t="s">
        <v>2061</v>
      </c>
      <c r="N966" s="3" t="s">
        <v>2061</v>
      </c>
      <c r="O966" s="5"/>
      <c r="P966" s="3" t="s">
        <v>74</v>
      </c>
      <c r="Q966" s="7"/>
      <c r="R966" s="7"/>
    </row>
    <row r="967" spans="1:18" ht="102" x14ac:dyDescent="0.25">
      <c r="A967" s="3" t="s">
        <v>18</v>
      </c>
      <c r="B967" s="3">
        <v>2013</v>
      </c>
      <c r="C967" s="3" t="s">
        <v>2058</v>
      </c>
      <c r="D967" s="3" t="str">
        <f>"134 / 2013"</f>
        <v>134 / 2013</v>
      </c>
      <c r="E967" s="4">
        <v>41352</v>
      </c>
      <c r="F967" s="3" t="s">
        <v>2157</v>
      </c>
      <c r="G967" s="5"/>
      <c r="H967" s="3" t="s">
        <v>2158</v>
      </c>
      <c r="I967" s="3">
        <v>9</v>
      </c>
      <c r="J967" s="4">
        <v>41347</v>
      </c>
      <c r="K967" s="6">
        <v>0.5</v>
      </c>
      <c r="L967" s="5"/>
      <c r="M967" s="3" t="s">
        <v>2159</v>
      </c>
      <c r="N967" s="3" t="s">
        <v>2159</v>
      </c>
      <c r="O967" s="5"/>
      <c r="P967" s="3" t="s">
        <v>74</v>
      </c>
      <c r="Q967" s="7"/>
      <c r="R967" s="7"/>
    </row>
    <row r="968" spans="1:18" ht="89.25" x14ac:dyDescent="0.25">
      <c r="A968" s="3" t="s">
        <v>18</v>
      </c>
      <c r="B968" s="3">
        <v>2013</v>
      </c>
      <c r="C968" s="3" t="s">
        <v>2058</v>
      </c>
      <c r="D968" s="3" t="str">
        <f>"135 / 2013"</f>
        <v>135 / 2013</v>
      </c>
      <c r="E968" s="4">
        <v>41348</v>
      </c>
      <c r="F968" s="3" t="s">
        <v>2160</v>
      </c>
      <c r="G968" s="5"/>
      <c r="H968" s="3" t="s">
        <v>2161</v>
      </c>
      <c r="I968" s="3">
        <v>9</v>
      </c>
      <c r="J968" s="4">
        <v>41347</v>
      </c>
      <c r="K968" s="6">
        <v>0.5</v>
      </c>
      <c r="L968" s="5"/>
      <c r="M968" s="3" t="s">
        <v>2102</v>
      </c>
      <c r="N968" s="3" t="s">
        <v>2102</v>
      </c>
      <c r="O968" s="5"/>
      <c r="P968" s="3" t="s">
        <v>74</v>
      </c>
      <c r="Q968" s="7"/>
      <c r="R968" s="7"/>
    </row>
    <row r="969" spans="1:18" ht="89.25" x14ac:dyDescent="0.25">
      <c r="A969" s="3" t="s">
        <v>18</v>
      </c>
      <c r="B969" s="3">
        <v>2013</v>
      </c>
      <c r="C969" s="3" t="s">
        <v>2058</v>
      </c>
      <c r="D969" s="3" t="str">
        <f>"136 / 2013"</f>
        <v>136 / 2013</v>
      </c>
      <c r="E969" s="4">
        <v>41362</v>
      </c>
      <c r="F969" s="3" t="s">
        <v>2162</v>
      </c>
      <c r="G969" s="5"/>
      <c r="H969" s="3" t="s">
        <v>2163</v>
      </c>
      <c r="I969" s="3">
        <v>10</v>
      </c>
      <c r="J969" s="4">
        <v>41359</v>
      </c>
      <c r="K969" s="6">
        <v>0.5</v>
      </c>
      <c r="L969" s="3">
        <v>1</v>
      </c>
      <c r="M969" s="3" t="s">
        <v>35</v>
      </c>
      <c r="N969" s="3" t="s">
        <v>35</v>
      </c>
      <c r="O969" s="5"/>
      <c r="P969" s="3" t="s">
        <v>22</v>
      </c>
      <c r="Q969" s="7"/>
      <c r="R969" s="7"/>
    </row>
    <row r="970" spans="1:18" ht="89.25" x14ac:dyDescent="0.25">
      <c r="A970" s="3" t="s">
        <v>18</v>
      </c>
      <c r="B970" s="3">
        <v>2013</v>
      </c>
      <c r="C970" s="3" t="s">
        <v>2058</v>
      </c>
      <c r="D970" s="3" t="str">
        <f>"137 / 2013"</f>
        <v>137 / 2013</v>
      </c>
      <c r="E970" s="4">
        <v>41365</v>
      </c>
      <c r="F970" s="3" t="s">
        <v>2164</v>
      </c>
      <c r="G970" s="5"/>
      <c r="H970" s="3" t="s">
        <v>2165</v>
      </c>
      <c r="I970" s="3">
        <v>10</v>
      </c>
      <c r="J970" s="4">
        <v>41359</v>
      </c>
      <c r="K970" s="6">
        <v>0.5</v>
      </c>
      <c r="L970" s="3">
        <v>2</v>
      </c>
      <c r="M970" s="3" t="s">
        <v>35</v>
      </c>
      <c r="N970" s="3" t="s">
        <v>35</v>
      </c>
      <c r="O970" s="5"/>
      <c r="P970" s="3" t="s">
        <v>22</v>
      </c>
      <c r="Q970" s="7"/>
      <c r="R970" s="7"/>
    </row>
    <row r="971" spans="1:18" ht="89.25" x14ac:dyDescent="0.25">
      <c r="A971" s="3" t="s">
        <v>18</v>
      </c>
      <c r="B971" s="3">
        <v>2013</v>
      </c>
      <c r="C971" s="3" t="s">
        <v>2058</v>
      </c>
      <c r="D971" s="3" t="str">
        <f>"138 / 2013"</f>
        <v>138 / 2013</v>
      </c>
      <c r="E971" s="4">
        <v>41362</v>
      </c>
      <c r="F971" s="4">
        <v>41362</v>
      </c>
      <c r="G971" s="5"/>
      <c r="H971" s="3" t="s">
        <v>2166</v>
      </c>
      <c r="I971" s="3">
        <v>10</v>
      </c>
      <c r="J971" s="4">
        <v>41359</v>
      </c>
      <c r="K971" s="6">
        <v>0.5</v>
      </c>
      <c r="L971" s="3">
        <v>3</v>
      </c>
      <c r="M971" s="3" t="s">
        <v>35</v>
      </c>
      <c r="N971" s="3" t="s">
        <v>35</v>
      </c>
      <c r="O971" s="5"/>
      <c r="P971" s="3" t="s">
        <v>22</v>
      </c>
      <c r="Q971" s="7"/>
      <c r="R971" s="7"/>
    </row>
    <row r="972" spans="1:18" ht="89.25" x14ac:dyDescent="0.25">
      <c r="A972" s="3" t="s">
        <v>18</v>
      </c>
      <c r="B972" s="3">
        <v>2013</v>
      </c>
      <c r="C972" s="3" t="s">
        <v>2058</v>
      </c>
      <c r="D972" s="3" t="str">
        <f>"139 / 2013"</f>
        <v>139 / 2013</v>
      </c>
      <c r="E972" s="4">
        <v>41365</v>
      </c>
      <c r="F972" s="3" t="s">
        <v>2167</v>
      </c>
      <c r="G972" s="5"/>
      <c r="H972" s="3" t="s">
        <v>2168</v>
      </c>
      <c r="I972" s="3">
        <v>10</v>
      </c>
      <c r="J972" s="4">
        <v>41359</v>
      </c>
      <c r="K972" s="6">
        <v>0.5</v>
      </c>
      <c r="L972" s="3">
        <v>4</v>
      </c>
      <c r="M972" s="3" t="s">
        <v>2074</v>
      </c>
      <c r="N972" s="3" t="s">
        <v>2074</v>
      </c>
      <c r="O972" s="5"/>
      <c r="P972" s="3" t="s">
        <v>22</v>
      </c>
      <c r="Q972" s="7"/>
      <c r="R972" s="7"/>
    </row>
    <row r="973" spans="1:18" ht="216.75" x14ac:dyDescent="0.25">
      <c r="A973" s="3" t="s">
        <v>18</v>
      </c>
      <c r="B973" s="3">
        <v>2013</v>
      </c>
      <c r="C973" s="3" t="s">
        <v>2058</v>
      </c>
      <c r="D973" s="3" t="str">
        <f>"140 / 2013"</f>
        <v>140 / 2013</v>
      </c>
      <c r="E973" s="4">
        <v>41365</v>
      </c>
      <c r="F973" s="3" t="s">
        <v>2169</v>
      </c>
      <c r="G973" s="5"/>
      <c r="H973" s="3" t="s">
        <v>2170</v>
      </c>
      <c r="I973" s="3">
        <v>10</v>
      </c>
      <c r="J973" s="4">
        <v>41359</v>
      </c>
      <c r="K973" s="6">
        <v>0.5</v>
      </c>
      <c r="L973" s="3">
        <v>5</v>
      </c>
      <c r="M973" s="3" t="s">
        <v>2074</v>
      </c>
      <c r="N973" s="3" t="s">
        <v>2074</v>
      </c>
      <c r="O973" s="5"/>
      <c r="P973" s="3" t="s">
        <v>22</v>
      </c>
      <c r="Q973" s="7"/>
      <c r="R973" s="7"/>
    </row>
    <row r="974" spans="1:18" ht="51" x14ac:dyDescent="0.25">
      <c r="A974" s="3" t="s">
        <v>18</v>
      </c>
      <c r="B974" s="3">
        <v>2013</v>
      </c>
      <c r="C974" s="3" t="s">
        <v>2058</v>
      </c>
      <c r="D974" s="3" t="str">
        <f>"141 / 2013"</f>
        <v>141 / 2013</v>
      </c>
      <c r="E974" s="4">
        <v>41365</v>
      </c>
      <c r="F974" s="3" t="s">
        <v>2171</v>
      </c>
      <c r="G974" s="5"/>
      <c r="H974" s="3" t="s">
        <v>2172</v>
      </c>
      <c r="I974" s="3">
        <v>10</v>
      </c>
      <c r="J974" s="4">
        <v>41359</v>
      </c>
      <c r="K974" s="6">
        <v>0.5</v>
      </c>
      <c r="L974" s="3">
        <v>6</v>
      </c>
      <c r="M974" s="3" t="s">
        <v>2117</v>
      </c>
      <c r="N974" s="3" t="s">
        <v>2117</v>
      </c>
      <c r="O974" s="5"/>
      <c r="P974" s="3" t="s">
        <v>22</v>
      </c>
      <c r="Q974" s="7"/>
      <c r="R974" s="7"/>
    </row>
    <row r="975" spans="1:18" ht="76.5" x14ac:dyDescent="0.25">
      <c r="A975" s="3" t="s">
        <v>18</v>
      </c>
      <c r="B975" s="3">
        <v>2013</v>
      </c>
      <c r="C975" s="3" t="s">
        <v>2058</v>
      </c>
      <c r="D975" s="3" t="str">
        <f>"142 / 2013"</f>
        <v>142 / 2013</v>
      </c>
      <c r="E975" s="4">
        <v>41362</v>
      </c>
      <c r="F975" s="3" t="s">
        <v>2173</v>
      </c>
      <c r="G975" s="5"/>
      <c r="H975" s="3" t="s">
        <v>2174</v>
      </c>
      <c r="I975" s="3">
        <v>10</v>
      </c>
      <c r="J975" s="4">
        <v>41359</v>
      </c>
      <c r="K975" s="6">
        <v>0.5</v>
      </c>
      <c r="L975" s="3">
        <v>7</v>
      </c>
      <c r="M975" s="3" t="s">
        <v>2102</v>
      </c>
      <c r="N975" s="3" t="s">
        <v>2102</v>
      </c>
      <c r="O975" s="5"/>
      <c r="P975" s="3" t="s">
        <v>22</v>
      </c>
      <c r="Q975" s="7"/>
      <c r="R975" s="7"/>
    </row>
    <row r="976" spans="1:18" ht="89.25" x14ac:dyDescent="0.25">
      <c r="A976" s="3" t="s">
        <v>18</v>
      </c>
      <c r="B976" s="3">
        <v>2013</v>
      </c>
      <c r="C976" s="3" t="s">
        <v>2058</v>
      </c>
      <c r="D976" s="3" t="str">
        <f>"143 / 2013"</f>
        <v>143 / 2013</v>
      </c>
      <c r="E976" s="4">
        <v>41362</v>
      </c>
      <c r="F976" s="3" t="s">
        <v>2175</v>
      </c>
      <c r="G976" s="5"/>
      <c r="H976" s="3" t="s">
        <v>2176</v>
      </c>
      <c r="I976" s="3">
        <v>10</v>
      </c>
      <c r="J976" s="4">
        <v>41359</v>
      </c>
      <c r="K976" s="6">
        <v>0.5</v>
      </c>
      <c r="L976" s="3">
        <v>8</v>
      </c>
      <c r="M976" s="3" t="s">
        <v>2102</v>
      </c>
      <c r="N976" s="3" t="s">
        <v>2102</v>
      </c>
      <c r="O976" s="5"/>
      <c r="P976" s="3" t="s">
        <v>22</v>
      </c>
      <c r="Q976" s="7"/>
      <c r="R976" s="7"/>
    </row>
    <row r="977" spans="1:18" ht="76.5" x14ac:dyDescent="0.25">
      <c r="A977" s="3" t="s">
        <v>18</v>
      </c>
      <c r="B977" s="3">
        <v>2013</v>
      </c>
      <c r="C977" s="3" t="s">
        <v>2058</v>
      </c>
      <c r="D977" s="3" t="str">
        <f>"144 / 2013"</f>
        <v>144 / 2013</v>
      </c>
      <c r="E977" s="4">
        <v>41362</v>
      </c>
      <c r="F977" s="3" t="s">
        <v>2177</v>
      </c>
      <c r="G977" s="5"/>
      <c r="H977" s="3" t="s">
        <v>2178</v>
      </c>
      <c r="I977" s="3">
        <v>10</v>
      </c>
      <c r="J977" s="4">
        <v>41359</v>
      </c>
      <c r="K977" s="6">
        <v>0.5</v>
      </c>
      <c r="L977" s="3">
        <v>9</v>
      </c>
      <c r="M977" s="3" t="s">
        <v>2102</v>
      </c>
      <c r="N977" s="3" t="s">
        <v>2102</v>
      </c>
      <c r="O977" s="5"/>
      <c r="P977" s="3" t="s">
        <v>22</v>
      </c>
      <c r="Q977" s="7"/>
      <c r="R977" s="7"/>
    </row>
    <row r="978" spans="1:18" ht="76.5" x14ac:dyDescent="0.25">
      <c r="A978" s="3" t="s">
        <v>18</v>
      </c>
      <c r="B978" s="3">
        <v>2013</v>
      </c>
      <c r="C978" s="3" t="s">
        <v>2058</v>
      </c>
      <c r="D978" s="3" t="str">
        <f>"145 / 2013"</f>
        <v>145 / 2013</v>
      </c>
      <c r="E978" s="4">
        <v>41361</v>
      </c>
      <c r="F978" s="3" t="s">
        <v>2179</v>
      </c>
      <c r="G978" s="5"/>
      <c r="H978" s="3" t="s">
        <v>2180</v>
      </c>
      <c r="I978" s="3">
        <v>10</v>
      </c>
      <c r="J978" s="4">
        <v>41359</v>
      </c>
      <c r="K978" s="6">
        <v>0.5</v>
      </c>
      <c r="L978" s="3">
        <v>10</v>
      </c>
      <c r="M978" s="3" t="s">
        <v>2105</v>
      </c>
      <c r="N978" s="3" t="s">
        <v>2105</v>
      </c>
      <c r="O978" s="5"/>
      <c r="P978" s="3" t="s">
        <v>22</v>
      </c>
      <c r="Q978" s="7"/>
      <c r="R978" s="7"/>
    </row>
    <row r="979" spans="1:18" ht="89.25" x14ac:dyDescent="0.25">
      <c r="A979" s="3" t="s">
        <v>18</v>
      </c>
      <c r="B979" s="3">
        <v>2013</v>
      </c>
      <c r="C979" s="3" t="s">
        <v>2058</v>
      </c>
      <c r="D979" s="3" t="str">
        <f>"146 / 2013"</f>
        <v>146 / 2013</v>
      </c>
      <c r="E979" s="4">
        <v>41365</v>
      </c>
      <c r="F979" s="3" t="s">
        <v>2181</v>
      </c>
      <c r="G979" s="5"/>
      <c r="H979" s="3" t="s">
        <v>2182</v>
      </c>
      <c r="I979" s="3">
        <v>10</v>
      </c>
      <c r="J979" s="4">
        <v>41359</v>
      </c>
      <c r="K979" s="6">
        <v>0.5</v>
      </c>
      <c r="L979" s="3">
        <v>11</v>
      </c>
      <c r="M979" s="3" t="s">
        <v>2064</v>
      </c>
      <c r="N979" s="3" t="s">
        <v>2064</v>
      </c>
      <c r="O979" s="5"/>
      <c r="P979" s="3" t="s">
        <v>22</v>
      </c>
      <c r="Q979" s="7"/>
      <c r="R979" s="7"/>
    </row>
    <row r="980" spans="1:18" ht="76.5" x14ac:dyDescent="0.25">
      <c r="A980" s="3" t="s">
        <v>18</v>
      </c>
      <c r="B980" s="3">
        <v>2013</v>
      </c>
      <c r="C980" s="3" t="s">
        <v>2058</v>
      </c>
      <c r="D980" s="3" t="str">
        <f>"147 / 2013"</f>
        <v>147 / 2013</v>
      </c>
      <c r="E980" s="4">
        <v>41365</v>
      </c>
      <c r="F980" s="3" t="s">
        <v>2183</v>
      </c>
      <c r="G980" s="5"/>
      <c r="H980" s="3" t="s">
        <v>2184</v>
      </c>
      <c r="I980" s="3">
        <v>10</v>
      </c>
      <c r="J980" s="4">
        <v>41359</v>
      </c>
      <c r="K980" s="6">
        <v>0.5</v>
      </c>
      <c r="L980" s="3">
        <v>12</v>
      </c>
      <c r="M980" s="3" t="s">
        <v>2185</v>
      </c>
      <c r="N980" s="3" t="s">
        <v>2185</v>
      </c>
      <c r="O980" s="5"/>
      <c r="P980" s="3" t="s">
        <v>22</v>
      </c>
      <c r="Q980" s="7"/>
      <c r="R980" s="7"/>
    </row>
    <row r="981" spans="1:18" ht="89.25" x14ac:dyDescent="0.25">
      <c r="A981" s="3" t="s">
        <v>18</v>
      </c>
      <c r="B981" s="3">
        <v>2013</v>
      </c>
      <c r="C981" s="3" t="s">
        <v>2058</v>
      </c>
      <c r="D981" s="3" t="str">
        <f>"149 / 2013"</f>
        <v>149 / 2013</v>
      </c>
      <c r="E981" s="4">
        <v>41365</v>
      </c>
      <c r="F981" s="3" t="s">
        <v>2186</v>
      </c>
      <c r="G981" s="5"/>
      <c r="H981" s="3" t="s">
        <v>2187</v>
      </c>
      <c r="I981" s="3">
        <v>10</v>
      </c>
      <c r="J981" s="4">
        <v>41359</v>
      </c>
      <c r="K981" s="6">
        <v>0.5</v>
      </c>
      <c r="L981" s="3">
        <v>14</v>
      </c>
      <c r="M981" s="3" t="s">
        <v>2102</v>
      </c>
      <c r="N981" s="3" t="s">
        <v>2102</v>
      </c>
      <c r="O981" s="5"/>
      <c r="P981" s="3" t="s">
        <v>22</v>
      </c>
      <c r="Q981" s="7"/>
      <c r="R981" s="7"/>
    </row>
    <row r="982" spans="1:18" ht="127.5" x14ac:dyDescent="0.25">
      <c r="A982" s="3" t="s">
        <v>18</v>
      </c>
      <c r="B982" s="3">
        <v>2013</v>
      </c>
      <c r="C982" s="3" t="s">
        <v>2058</v>
      </c>
      <c r="D982" s="3" t="str">
        <f>"15 / 2013"</f>
        <v>15 / 2013</v>
      </c>
      <c r="E982" s="4">
        <v>41299</v>
      </c>
      <c r="F982" s="3" t="s">
        <v>2188</v>
      </c>
      <c r="G982" s="5"/>
      <c r="H982" s="3" t="s">
        <v>2189</v>
      </c>
      <c r="I982" s="3">
        <v>1</v>
      </c>
      <c r="J982" s="4">
        <v>41295</v>
      </c>
      <c r="K982" s="6">
        <v>0.5</v>
      </c>
      <c r="L982" s="3">
        <v>15</v>
      </c>
      <c r="M982" s="3" t="s">
        <v>2088</v>
      </c>
      <c r="N982" s="3" t="s">
        <v>2088</v>
      </c>
      <c r="O982" s="5"/>
      <c r="P982" s="3" t="s">
        <v>22</v>
      </c>
      <c r="Q982" s="7"/>
      <c r="R982" s="7"/>
    </row>
    <row r="983" spans="1:18" ht="102" x14ac:dyDescent="0.25">
      <c r="A983" s="3" t="s">
        <v>18</v>
      </c>
      <c r="B983" s="3">
        <v>2013</v>
      </c>
      <c r="C983" s="3" t="s">
        <v>2058</v>
      </c>
      <c r="D983" s="3" t="str">
        <f>"150 / 2013"</f>
        <v>150 / 2013</v>
      </c>
      <c r="E983" s="4">
        <v>41361</v>
      </c>
      <c r="F983" s="3" t="s">
        <v>2190</v>
      </c>
      <c r="G983" s="5"/>
      <c r="H983" s="3" t="s">
        <v>2191</v>
      </c>
      <c r="I983" s="3">
        <v>10</v>
      </c>
      <c r="J983" s="4">
        <v>41359</v>
      </c>
      <c r="K983" s="6">
        <v>0.5</v>
      </c>
      <c r="L983" s="3">
        <v>15</v>
      </c>
      <c r="M983" s="3" t="s">
        <v>2192</v>
      </c>
      <c r="N983" s="3" t="s">
        <v>2192</v>
      </c>
      <c r="O983" s="5"/>
      <c r="P983" s="3" t="s">
        <v>22</v>
      </c>
      <c r="Q983" s="7"/>
      <c r="R983" s="7"/>
    </row>
    <row r="984" spans="1:18" ht="76.5" x14ac:dyDescent="0.25">
      <c r="A984" s="3" t="s">
        <v>18</v>
      </c>
      <c r="B984" s="3">
        <v>2013</v>
      </c>
      <c r="C984" s="3" t="s">
        <v>2058</v>
      </c>
      <c r="D984" s="3" t="str">
        <f>"151 / 2013"</f>
        <v>151 / 2013</v>
      </c>
      <c r="E984" s="4">
        <v>41362</v>
      </c>
      <c r="F984" s="3" t="s">
        <v>2193</v>
      </c>
      <c r="G984" s="5"/>
      <c r="H984" s="3" t="s">
        <v>2194</v>
      </c>
      <c r="I984" s="3">
        <v>10</v>
      </c>
      <c r="J984" s="4">
        <v>41359</v>
      </c>
      <c r="K984" s="6">
        <v>0.5</v>
      </c>
      <c r="L984" s="3">
        <v>16</v>
      </c>
      <c r="M984" s="3" t="s">
        <v>2102</v>
      </c>
      <c r="N984" s="3" t="s">
        <v>2102</v>
      </c>
      <c r="O984" s="5"/>
      <c r="P984" s="3" t="s">
        <v>22</v>
      </c>
      <c r="Q984" s="7"/>
      <c r="R984" s="7"/>
    </row>
    <row r="985" spans="1:18" ht="63.75" x14ac:dyDescent="0.25">
      <c r="A985" s="3" t="s">
        <v>18</v>
      </c>
      <c r="B985" s="3">
        <v>2013</v>
      </c>
      <c r="C985" s="3" t="s">
        <v>2058</v>
      </c>
      <c r="D985" s="3" t="str">
        <f>"153 / 2013"</f>
        <v>153 / 2013</v>
      </c>
      <c r="E985" s="4">
        <v>41361</v>
      </c>
      <c r="F985" s="3" t="s">
        <v>2195</v>
      </c>
      <c r="G985" s="5"/>
      <c r="H985" s="3" t="s">
        <v>2196</v>
      </c>
      <c r="I985" s="3">
        <v>10</v>
      </c>
      <c r="J985" s="4">
        <v>41359</v>
      </c>
      <c r="K985" s="6">
        <v>0.5</v>
      </c>
      <c r="L985" s="3">
        <v>18</v>
      </c>
      <c r="M985" s="3" t="s">
        <v>2150</v>
      </c>
      <c r="N985" s="3" t="s">
        <v>2150</v>
      </c>
      <c r="O985" s="5"/>
      <c r="P985" s="3" t="s">
        <v>22</v>
      </c>
      <c r="Q985" s="7"/>
      <c r="R985" s="7"/>
    </row>
    <row r="986" spans="1:18" ht="63.75" x14ac:dyDescent="0.25">
      <c r="A986" s="3" t="s">
        <v>18</v>
      </c>
      <c r="B986" s="3">
        <v>2013</v>
      </c>
      <c r="C986" s="3" t="s">
        <v>2058</v>
      </c>
      <c r="D986" s="3" t="str">
        <f>"154 / 2013"</f>
        <v>154 / 2013</v>
      </c>
      <c r="E986" s="4">
        <v>41362</v>
      </c>
      <c r="F986" s="3" t="s">
        <v>2197</v>
      </c>
      <c r="G986" s="5"/>
      <c r="H986" s="3" t="s">
        <v>2198</v>
      </c>
      <c r="I986" s="3">
        <v>10</v>
      </c>
      <c r="J986" s="4">
        <v>41359</v>
      </c>
      <c r="K986" s="6">
        <v>0.5</v>
      </c>
      <c r="L986" s="3">
        <v>19</v>
      </c>
      <c r="M986" s="3" t="s">
        <v>2199</v>
      </c>
      <c r="N986" s="3" t="s">
        <v>2199</v>
      </c>
      <c r="O986" s="5"/>
      <c r="P986" s="3" t="s">
        <v>22</v>
      </c>
      <c r="Q986" s="7"/>
      <c r="R986" s="7"/>
    </row>
    <row r="987" spans="1:18" ht="63.75" x14ac:dyDescent="0.25">
      <c r="A987" s="3" t="s">
        <v>18</v>
      </c>
      <c r="B987" s="3">
        <v>2013</v>
      </c>
      <c r="C987" s="3" t="s">
        <v>2058</v>
      </c>
      <c r="D987" s="3" t="str">
        <f>"155 / 2013"</f>
        <v>155 / 2013</v>
      </c>
      <c r="E987" s="4">
        <v>41362</v>
      </c>
      <c r="F987" s="3" t="s">
        <v>2200</v>
      </c>
      <c r="G987" s="5"/>
      <c r="H987" s="3" t="s">
        <v>2201</v>
      </c>
      <c r="I987" s="3">
        <v>10</v>
      </c>
      <c r="J987" s="4">
        <v>41359</v>
      </c>
      <c r="K987" s="6">
        <v>0.5</v>
      </c>
      <c r="L987" s="3">
        <v>20</v>
      </c>
      <c r="M987" s="3" t="s">
        <v>2099</v>
      </c>
      <c r="N987" s="3" t="s">
        <v>2099</v>
      </c>
      <c r="O987" s="5"/>
      <c r="P987" s="3" t="s">
        <v>22</v>
      </c>
      <c r="Q987" s="7"/>
      <c r="R987" s="7"/>
    </row>
    <row r="988" spans="1:18" ht="76.5" x14ac:dyDescent="0.25">
      <c r="A988" s="3" t="s">
        <v>18</v>
      </c>
      <c r="B988" s="3">
        <v>2013</v>
      </c>
      <c r="C988" s="3" t="s">
        <v>2058</v>
      </c>
      <c r="D988" s="3" t="str">
        <f>"156 / 2013"</f>
        <v>156 / 2013</v>
      </c>
      <c r="E988" s="4">
        <v>41361</v>
      </c>
      <c r="F988" s="3" t="s">
        <v>2202</v>
      </c>
      <c r="G988" s="5"/>
      <c r="H988" s="3" t="s">
        <v>2101</v>
      </c>
      <c r="I988" s="3">
        <v>10</v>
      </c>
      <c r="J988" s="4">
        <v>41359</v>
      </c>
      <c r="K988" s="6">
        <v>0.5</v>
      </c>
      <c r="L988" s="3">
        <v>21</v>
      </c>
      <c r="M988" s="3" t="s">
        <v>2102</v>
      </c>
      <c r="N988" s="3" t="s">
        <v>2102</v>
      </c>
      <c r="O988" s="5"/>
      <c r="P988" s="3" t="s">
        <v>22</v>
      </c>
      <c r="Q988" s="7"/>
      <c r="R988" s="7"/>
    </row>
    <row r="989" spans="1:18" ht="51" x14ac:dyDescent="0.25">
      <c r="A989" s="3" t="s">
        <v>18</v>
      </c>
      <c r="B989" s="3">
        <v>2013</v>
      </c>
      <c r="C989" s="3" t="s">
        <v>2058</v>
      </c>
      <c r="D989" s="3" t="str">
        <f>"157 / 2013"</f>
        <v>157 / 2013</v>
      </c>
      <c r="E989" s="4">
        <v>41361</v>
      </c>
      <c r="F989" s="3" t="s">
        <v>2203</v>
      </c>
      <c r="G989" s="5"/>
      <c r="H989" s="3" t="s">
        <v>2204</v>
      </c>
      <c r="I989" s="3">
        <v>10</v>
      </c>
      <c r="J989" s="4">
        <v>41359</v>
      </c>
      <c r="K989" s="6">
        <v>0.5</v>
      </c>
      <c r="L989" s="5"/>
      <c r="M989" s="3" t="s">
        <v>2061</v>
      </c>
      <c r="N989" s="3" t="s">
        <v>2061</v>
      </c>
      <c r="O989" s="5"/>
      <c r="P989" s="3" t="s">
        <v>74</v>
      </c>
      <c r="Q989" s="7"/>
      <c r="R989" s="7"/>
    </row>
    <row r="990" spans="1:18" ht="76.5" x14ac:dyDescent="0.25">
      <c r="A990" s="3" t="s">
        <v>18</v>
      </c>
      <c r="B990" s="3">
        <v>2013</v>
      </c>
      <c r="C990" s="3" t="s">
        <v>2058</v>
      </c>
      <c r="D990" s="3" t="str">
        <f>"158 / 2013"</f>
        <v>158 / 2013</v>
      </c>
      <c r="E990" s="4">
        <v>41362</v>
      </c>
      <c r="F990" s="3" t="s">
        <v>2205</v>
      </c>
      <c r="G990" s="5"/>
      <c r="H990" s="3" t="s">
        <v>2206</v>
      </c>
      <c r="I990" s="3">
        <v>10</v>
      </c>
      <c r="J990" s="4">
        <v>41359</v>
      </c>
      <c r="K990" s="6">
        <v>0.5</v>
      </c>
      <c r="L990" s="5"/>
      <c r="M990" s="3" t="s">
        <v>2102</v>
      </c>
      <c r="N990" s="3" t="s">
        <v>2102</v>
      </c>
      <c r="O990" s="5"/>
      <c r="P990" s="3" t="s">
        <v>74</v>
      </c>
      <c r="Q990" s="7"/>
      <c r="R990" s="7"/>
    </row>
    <row r="991" spans="1:18" ht="38.25" x14ac:dyDescent="0.25">
      <c r="A991" s="3" t="s">
        <v>18</v>
      </c>
      <c r="B991" s="3">
        <v>2013</v>
      </c>
      <c r="C991" s="3" t="s">
        <v>2058</v>
      </c>
      <c r="D991" s="3" t="str">
        <f>"159 / 2013"</f>
        <v>159 / 2013</v>
      </c>
      <c r="E991" s="4">
        <v>41361</v>
      </c>
      <c r="F991" s="3" t="s">
        <v>2207</v>
      </c>
      <c r="G991" s="5"/>
      <c r="H991" s="3" t="s">
        <v>2208</v>
      </c>
      <c r="I991" s="3">
        <v>10</v>
      </c>
      <c r="J991" s="4">
        <v>41359</v>
      </c>
      <c r="K991" s="6">
        <v>0.5</v>
      </c>
      <c r="L991" s="5"/>
      <c r="M991" s="3" t="s">
        <v>2105</v>
      </c>
      <c r="N991" s="3" t="s">
        <v>2105</v>
      </c>
      <c r="O991" s="5"/>
      <c r="P991" s="3" t="s">
        <v>74</v>
      </c>
      <c r="Q991" s="7"/>
      <c r="R991" s="7"/>
    </row>
    <row r="992" spans="1:18" ht="76.5" x14ac:dyDescent="0.25">
      <c r="A992" s="3" t="s">
        <v>18</v>
      </c>
      <c r="B992" s="3">
        <v>2013</v>
      </c>
      <c r="C992" s="3" t="s">
        <v>2058</v>
      </c>
      <c r="D992" s="3" t="str">
        <f>"16 / 2013"</f>
        <v>16 / 2013</v>
      </c>
      <c r="E992" s="4">
        <v>41299</v>
      </c>
      <c r="F992" s="3" t="s">
        <v>2209</v>
      </c>
      <c r="G992" s="5"/>
      <c r="H992" s="3" t="s">
        <v>2210</v>
      </c>
      <c r="I992" s="3">
        <v>1</v>
      </c>
      <c r="J992" s="4">
        <v>41295</v>
      </c>
      <c r="K992" s="6">
        <v>0.5</v>
      </c>
      <c r="L992" s="3">
        <v>16</v>
      </c>
      <c r="M992" s="3" t="s">
        <v>2211</v>
      </c>
      <c r="N992" s="3" t="s">
        <v>2211</v>
      </c>
      <c r="O992" s="5"/>
      <c r="P992" s="3" t="s">
        <v>22</v>
      </c>
      <c r="Q992" s="7"/>
      <c r="R992" s="7"/>
    </row>
    <row r="993" spans="1:18" ht="38.25" x14ac:dyDescent="0.25">
      <c r="A993" s="3" t="s">
        <v>18</v>
      </c>
      <c r="B993" s="3">
        <v>2013</v>
      </c>
      <c r="C993" s="3" t="s">
        <v>2058</v>
      </c>
      <c r="D993" s="3" t="str">
        <f>"160 / 2013"</f>
        <v>160 / 2013</v>
      </c>
      <c r="E993" s="4">
        <v>41361</v>
      </c>
      <c r="F993" s="3" t="s">
        <v>2212</v>
      </c>
      <c r="G993" s="5"/>
      <c r="H993" s="3" t="s">
        <v>2213</v>
      </c>
      <c r="I993" s="3">
        <v>10</v>
      </c>
      <c r="J993" s="4">
        <v>41359</v>
      </c>
      <c r="K993" s="6">
        <v>0.5</v>
      </c>
      <c r="L993" s="5"/>
      <c r="M993" s="3" t="s">
        <v>2105</v>
      </c>
      <c r="N993" s="3" t="s">
        <v>2105</v>
      </c>
      <c r="O993" s="5"/>
      <c r="P993" s="3" t="s">
        <v>74</v>
      </c>
      <c r="Q993" s="7"/>
      <c r="R993" s="7"/>
    </row>
    <row r="994" spans="1:18" ht="51" x14ac:dyDescent="0.25">
      <c r="A994" s="3" t="s">
        <v>18</v>
      </c>
      <c r="B994" s="3">
        <v>2013</v>
      </c>
      <c r="C994" s="3" t="s">
        <v>2058</v>
      </c>
      <c r="D994" s="3" t="str">
        <f>"161 / 2013"</f>
        <v>161 / 2013</v>
      </c>
      <c r="E994" s="4">
        <v>41359</v>
      </c>
      <c r="F994" s="3" t="s">
        <v>2214</v>
      </c>
      <c r="G994" s="5"/>
      <c r="H994" s="3" t="s">
        <v>2215</v>
      </c>
      <c r="I994" s="3">
        <v>10</v>
      </c>
      <c r="J994" s="4">
        <v>41359</v>
      </c>
      <c r="K994" s="6">
        <v>0.5</v>
      </c>
      <c r="L994" s="5"/>
      <c r="M994" s="3" t="s">
        <v>2099</v>
      </c>
      <c r="N994" s="3" t="s">
        <v>2099</v>
      </c>
      <c r="O994" s="5"/>
      <c r="P994" s="3" t="s">
        <v>74</v>
      </c>
      <c r="Q994" s="7"/>
      <c r="R994" s="7"/>
    </row>
    <row r="995" spans="1:18" ht="63.75" x14ac:dyDescent="0.25">
      <c r="A995" s="3" t="s">
        <v>18</v>
      </c>
      <c r="B995" s="3">
        <v>2013</v>
      </c>
      <c r="C995" s="3" t="s">
        <v>2058</v>
      </c>
      <c r="D995" s="3" t="str">
        <f>"162 / 2013"</f>
        <v>162 / 2013</v>
      </c>
      <c r="E995" s="4">
        <v>41366</v>
      </c>
      <c r="F995" s="3" t="s">
        <v>2216</v>
      </c>
      <c r="G995" s="5"/>
      <c r="H995" s="3" t="s">
        <v>2217</v>
      </c>
      <c r="I995" s="3">
        <v>11</v>
      </c>
      <c r="J995" s="4">
        <v>41366</v>
      </c>
      <c r="K995" s="6">
        <v>0.45833333333333331</v>
      </c>
      <c r="L995" s="3">
        <v>1</v>
      </c>
      <c r="M995" s="3" t="s">
        <v>2218</v>
      </c>
      <c r="N995" s="3" t="s">
        <v>2218</v>
      </c>
      <c r="O995" s="5"/>
      <c r="P995" s="3" t="s">
        <v>22</v>
      </c>
      <c r="Q995" s="7"/>
      <c r="R995" s="7"/>
    </row>
    <row r="996" spans="1:18" ht="63.75" x14ac:dyDescent="0.25">
      <c r="A996" s="3" t="s">
        <v>18</v>
      </c>
      <c r="B996" s="3">
        <v>2013</v>
      </c>
      <c r="C996" s="3" t="s">
        <v>2058</v>
      </c>
      <c r="D996" s="3" t="str">
        <f>"163 / 2013"</f>
        <v>163 / 2013</v>
      </c>
      <c r="E996" s="4">
        <v>41366</v>
      </c>
      <c r="F996" s="3" t="s">
        <v>2219</v>
      </c>
      <c r="G996" s="5"/>
      <c r="H996" s="3" t="s">
        <v>2220</v>
      </c>
      <c r="I996" s="3">
        <v>11</v>
      </c>
      <c r="J996" s="4">
        <v>41366</v>
      </c>
      <c r="K996" s="6">
        <v>0.45833333333333331</v>
      </c>
      <c r="L996" s="3">
        <v>2</v>
      </c>
      <c r="M996" s="3" t="s">
        <v>2218</v>
      </c>
      <c r="N996" s="3" t="s">
        <v>2218</v>
      </c>
      <c r="O996" s="5"/>
      <c r="P996" s="3" t="s">
        <v>22</v>
      </c>
      <c r="Q996" s="7"/>
      <c r="R996" s="7"/>
    </row>
    <row r="997" spans="1:18" ht="76.5" x14ac:dyDescent="0.25">
      <c r="A997" s="3" t="s">
        <v>18</v>
      </c>
      <c r="B997" s="3">
        <v>2013</v>
      </c>
      <c r="C997" s="3" t="s">
        <v>2058</v>
      </c>
      <c r="D997" s="3" t="str">
        <f>"164 / 2013"</f>
        <v>164 / 2013</v>
      </c>
      <c r="E997" s="4">
        <v>41366</v>
      </c>
      <c r="F997" s="3" t="s">
        <v>2221</v>
      </c>
      <c r="G997" s="5"/>
      <c r="H997" s="3" t="s">
        <v>2222</v>
      </c>
      <c r="I997" s="3">
        <v>11</v>
      </c>
      <c r="J997" s="4">
        <v>41366</v>
      </c>
      <c r="K997" s="6">
        <v>0.45833333333333331</v>
      </c>
      <c r="L997" s="3">
        <v>3</v>
      </c>
      <c r="M997" s="3" t="s">
        <v>2102</v>
      </c>
      <c r="N997" s="3" t="s">
        <v>2102</v>
      </c>
      <c r="O997" s="5"/>
      <c r="P997" s="3" t="s">
        <v>22</v>
      </c>
      <c r="Q997" s="7"/>
      <c r="R997" s="7"/>
    </row>
    <row r="998" spans="1:18" ht="51" x14ac:dyDescent="0.25">
      <c r="A998" s="3" t="s">
        <v>18</v>
      </c>
      <c r="B998" s="3">
        <v>2013</v>
      </c>
      <c r="C998" s="3" t="s">
        <v>2058</v>
      </c>
      <c r="D998" s="3" t="str">
        <f>"165 / 2013"</f>
        <v>165 / 2013</v>
      </c>
      <c r="E998" s="4">
        <v>41366</v>
      </c>
      <c r="F998" s="3" t="s">
        <v>2223</v>
      </c>
      <c r="G998" s="5"/>
      <c r="H998" s="3" t="s">
        <v>2224</v>
      </c>
      <c r="I998" s="3">
        <v>11</v>
      </c>
      <c r="J998" s="4">
        <v>41366</v>
      </c>
      <c r="K998" s="6">
        <v>0.45833333333333331</v>
      </c>
      <c r="L998" s="3">
        <v>4</v>
      </c>
      <c r="M998" s="3" t="s">
        <v>2061</v>
      </c>
      <c r="N998" s="3" t="s">
        <v>2061</v>
      </c>
      <c r="O998" s="5"/>
      <c r="P998" s="3" t="s">
        <v>22</v>
      </c>
      <c r="Q998" s="7"/>
      <c r="R998" s="7"/>
    </row>
    <row r="999" spans="1:18" ht="51" x14ac:dyDescent="0.25">
      <c r="A999" s="3" t="s">
        <v>18</v>
      </c>
      <c r="B999" s="3">
        <v>2013</v>
      </c>
      <c r="C999" s="3" t="s">
        <v>2058</v>
      </c>
      <c r="D999" s="3" t="str">
        <f>"166 / 2013"</f>
        <v>166 / 2013</v>
      </c>
      <c r="E999" s="4">
        <v>41372</v>
      </c>
      <c r="F999" s="3" t="s">
        <v>2225</v>
      </c>
      <c r="G999" s="5"/>
      <c r="H999" s="3" t="s">
        <v>2172</v>
      </c>
      <c r="I999" s="3">
        <v>12</v>
      </c>
      <c r="J999" s="4">
        <v>41369</v>
      </c>
      <c r="K999" s="6">
        <v>0.5</v>
      </c>
      <c r="L999" s="3">
        <v>1</v>
      </c>
      <c r="M999" s="3" t="s">
        <v>2117</v>
      </c>
      <c r="N999" s="3" t="s">
        <v>2117</v>
      </c>
      <c r="O999" s="5"/>
      <c r="P999" s="3" t="s">
        <v>22</v>
      </c>
      <c r="Q999" s="7"/>
      <c r="R999" s="7"/>
    </row>
    <row r="1000" spans="1:18" ht="89.25" x14ac:dyDescent="0.25">
      <c r="A1000" s="3" t="s">
        <v>18</v>
      </c>
      <c r="B1000" s="3">
        <v>2013</v>
      </c>
      <c r="C1000" s="3" t="s">
        <v>2058</v>
      </c>
      <c r="D1000" s="3" t="str">
        <f>"167 / 2013"</f>
        <v>167 / 2013</v>
      </c>
      <c r="E1000" s="4">
        <v>41375</v>
      </c>
      <c r="F1000" s="3" t="s">
        <v>2226</v>
      </c>
      <c r="G1000" s="5"/>
      <c r="H1000" s="3" t="s">
        <v>2227</v>
      </c>
      <c r="I1000" s="3">
        <v>12</v>
      </c>
      <c r="J1000" s="4">
        <v>41369</v>
      </c>
      <c r="K1000" s="6">
        <v>0.5</v>
      </c>
      <c r="L1000" s="3">
        <v>2</v>
      </c>
      <c r="M1000" s="3" t="s">
        <v>35</v>
      </c>
      <c r="N1000" s="3" t="s">
        <v>35</v>
      </c>
      <c r="O1000" s="5"/>
      <c r="P1000" s="3" t="s">
        <v>22</v>
      </c>
      <c r="Q1000" s="7"/>
      <c r="R1000" s="7"/>
    </row>
    <row r="1001" spans="1:18" ht="89.25" x14ac:dyDescent="0.25">
      <c r="A1001" s="3" t="s">
        <v>18</v>
      </c>
      <c r="B1001" s="3">
        <v>2013</v>
      </c>
      <c r="C1001" s="3" t="s">
        <v>2058</v>
      </c>
      <c r="D1001" s="3" t="str">
        <f>"168 / 2013"</f>
        <v>168 / 2013</v>
      </c>
      <c r="E1001" s="4">
        <v>41373</v>
      </c>
      <c r="F1001" s="3" t="s">
        <v>2228</v>
      </c>
      <c r="G1001" s="5"/>
      <c r="H1001" s="3" t="s">
        <v>2229</v>
      </c>
      <c r="I1001" s="3">
        <v>12</v>
      </c>
      <c r="J1001" s="4">
        <v>41369</v>
      </c>
      <c r="K1001" s="6">
        <v>0.5</v>
      </c>
      <c r="L1001" s="3">
        <v>3</v>
      </c>
      <c r="M1001" s="3" t="s">
        <v>2061</v>
      </c>
      <c r="N1001" s="3" t="s">
        <v>2061</v>
      </c>
      <c r="O1001" s="5"/>
      <c r="P1001" s="3" t="s">
        <v>22</v>
      </c>
      <c r="Q1001" s="7"/>
      <c r="R1001" s="7"/>
    </row>
    <row r="1002" spans="1:18" ht="63.75" x14ac:dyDescent="0.25">
      <c r="A1002" s="3" t="s">
        <v>18</v>
      </c>
      <c r="B1002" s="3">
        <v>2013</v>
      </c>
      <c r="C1002" s="3" t="s">
        <v>2058</v>
      </c>
      <c r="D1002" s="3" t="str">
        <f>"169 / 2013"</f>
        <v>169 / 2013</v>
      </c>
      <c r="E1002" s="4">
        <v>41376</v>
      </c>
      <c r="F1002" s="3" t="s">
        <v>2230</v>
      </c>
      <c r="G1002" s="5"/>
      <c r="H1002" s="3" t="s">
        <v>2231</v>
      </c>
      <c r="I1002" s="3">
        <v>12</v>
      </c>
      <c r="J1002" s="4">
        <v>41369</v>
      </c>
      <c r="K1002" s="6">
        <v>0.5</v>
      </c>
      <c r="L1002" s="3">
        <v>4</v>
      </c>
      <c r="M1002" s="3" t="s">
        <v>2061</v>
      </c>
      <c r="N1002" s="3" t="s">
        <v>2061</v>
      </c>
      <c r="O1002" s="5"/>
      <c r="P1002" s="3" t="s">
        <v>22</v>
      </c>
      <c r="Q1002" s="7"/>
      <c r="R1002" s="7"/>
    </row>
    <row r="1003" spans="1:18" ht="51" x14ac:dyDescent="0.25">
      <c r="A1003" s="3" t="s">
        <v>18</v>
      </c>
      <c r="B1003" s="3">
        <v>2013</v>
      </c>
      <c r="C1003" s="3" t="s">
        <v>2058</v>
      </c>
      <c r="D1003" s="3" t="str">
        <f>"17 / 2013"</f>
        <v>17 / 2013</v>
      </c>
      <c r="E1003" s="4">
        <v>41298</v>
      </c>
      <c r="F1003" s="3" t="s">
        <v>2232</v>
      </c>
      <c r="G1003" s="5"/>
      <c r="H1003" s="3" t="s">
        <v>2233</v>
      </c>
      <c r="I1003" s="3">
        <v>1</v>
      </c>
      <c r="J1003" s="4">
        <v>41295</v>
      </c>
      <c r="K1003" s="6">
        <v>0.5</v>
      </c>
      <c r="L1003" s="3">
        <v>17</v>
      </c>
      <c r="M1003" s="3" t="s">
        <v>2099</v>
      </c>
      <c r="N1003" s="3" t="s">
        <v>2099</v>
      </c>
      <c r="O1003" s="5"/>
      <c r="P1003" s="3" t="s">
        <v>22</v>
      </c>
      <c r="Q1003" s="7"/>
      <c r="R1003" s="7"/>
    </row>
    <row r="1004" spans="1:18" ht="76.5" x14ac:dyDescent="0.25">
      <c r="A1004" s="3" t="s">
        <v>18</v>
      </c>
      <c r="B1004" s="3">
        <v>2013</v>
      </c>
      <c r="C1004" s="3" t="s">
        <v>2058</v>
      </c>
      <c r="D1004" s="3" t="str">
        <f>"170 / 2013"</f>
        <v>170 / 2013</v>
      </c>
      <c r="E1004" s="4">
        <v>41375</v>
      </c>
      <c r="F1004" s="3" t="s">
        <v>2234</v>
      </c>
      <c r="G1004" s="5"/>
      <c r="H1004" s="3" t="s">
        <v>2235</v>
      </c>
      <c r="I1004" s="3">
        <v>12</v>
      </c>
      <c r="J1004" s="4">
        <v>41369</v>
      </c>
      <c r="K1004" s="6">
        <v>0.5</v>
      </c>
      <c r="L1004" s="3">
        <v>5</v>
      </c>
      <c r="M1004" s="3" t="s">
        <v>2122</v>
      </c>
      <c r="N1004" s="3" t="s">
        <v>2122</v>
      </c>
      <c r="O1004" s="5"/>
      <c r="P1004" s="3" t="s">
        <v>22</v>
      </c>
      <c r="Q1004" s="7"/>
      <c r="R1004" s="7"/>
    </row>
    <row r="1005" spans="1:18" ht="38.25" x14ac:dyDescent="0.25">
      <c r="A1005" s="3" t="s">
        <v>18</v>
      </c>
      <c r="B1005" s="3">
        <v>2013</v>
      </c>
      <c r="C1005" s="3" t="s">
        <v>2058</v>
      </c>
      <c r="D1005" s="3" t="str">
        <f>"171 / 2013"</f>
        <v>171 / 2013</v>
      </c>
      <c r="E1005" s="4">
        <v>41372</v>
      </c>
      <c r="F1005" s="3" t="s">
        <v>2236</v>
      </c>
      <c r="G1005" s="5"/>
      <c r="H1005" s="3" t="s">
        <v>2237</v>
      </c>
      <c r="I1005" s="3">
        <v>12</v>
      </c>
      <c r="J1005" s="4">
        <v>41369</v>
      </c>
      <c r="K1005" s="6">
        <v>0.5</v>
      </c>
      <c r="L1005" s="3">
        <v>6</v>
      </c>
      <c r="M1005" s="3" t="s">
        <v>2105</v>
      </c>
      <c r="N1005" s="3" t="s">
        <v>2105</v>
      </c>
      <c r="O1005" s="5"/>
      <c r="P1005" s="3" t="s">
        <v>22</v>
      </c>
      <c r="Q1005" s="7"/>
      <c r="R1005" s="7"/>
    </row>
    <row r="1006" spans="1:18" ht="76.5" x14ac:dyDescent="0.25">
      <c r="A1006" s="3" t="s">
        <v>18</v>
      </c>
      <c r="B1006" s="3">
        <v>2013</v>
      </c>
      <c r="C1006" s="3" t="s">
        <v>2058</v>
      </c>
      <c r="D1006" s="3" t="str">
        <f>"172 / 2013"</f>
        <v>172 / 2013</v>
      </c>
      <c r="E1006" s="4">
        <v>41372</v>
      </c>
      <c r="F1006" s="3" t="s">
        <v>2238</v>
      </c>
      <c r="G1006" s="5"/>
      <c r="H1006" s="3" t="s">
        <v>2239</v>
      </c>
      <c r="I1006" s="3">
        <v>12</v>
      </c>
      <c r="J1006" s="4">
        <v>41369</v>
      </c>
      <c r="K1006" s="6">
        <v>0.5</v>
      </c>
      <c r="L1006" s="3">
        <v>7</v>
      </c>
      <c r="M1006" s="3" t="s">
        <v>2102</v>
      </c>
      <c r="N1006" s="3" t="s">
        <v>2102</v>
      </c>
      <c r="O1006" s="5"/>
      <c r="P1006" s="3" t="s">
        <v>22</v>
      </c>
      <c r="Q1006" s="7"/>
      <c r="R1006" s="7"/>
    </row>
    <row r="1007" spans="1:18" ht="63.75" x14ac:dyDescent="0.25">
      <c r="A1007" s="3" t="s">
        <v>18</v>
      </c>
      <c r="B1007" s="3">
        <v>2013</v>
      </c>
      <c r="C1007" s="3" t="s">
        <v>2058</v>
      </c>
      <c r="D1007" s="3" t="str">
        <f>"173 / 2013"</f>
        <v>173 / 2013</v>
      </c>
      <c r="E1007" s="4">
        <v>41373</v>
      </c>
      <c r="F1007" s="3" t="s">
        <v>2240</v>
      </c>
      <c r="G1007" s="5"/>
      <c r="H1007" s="3" t="s">
        <v>2241</v>
      </c>
      <c r="I1007" s="3">
        <v>12</v>
      </c>
      <c r="J1007" s="4">
        <v>41369</v>
      </c>
      <c r="K1007" s="6">
        <v>0.5</v>
      </c>
      <c r="L1007" s="3">
        <v>8</v>
      </c>
      <c r="M1007" s="3" t="s">
        <v>2061</v>
      </c>
      <c r="N1007" s="3" t="s">
        <v>2061</v>
      </c>
      <c r="O1007" s="5"/>
      <c r="P1007" s="3" t="s">
        <v>22</v>
      </c>
      <c r="Q1007" s="7"/>
      <c r="R1007" s="7"/>
    </row>
    <row r="1008" spans="1:18" ht="51" x14ac:dyDescent="0.25">
      <c r="A1008" s="3" t="s">
        <v>18</v>
      </c>
      <c r="B1008" s="3">
        <v>2013</v>
      </c>
      <c r="C1008" s="3" t="s">
        <v>2058</v>
      </c>
      <c r="D1008" s="3" t="str">
        <f>"174 / 2013"</f>
        <v>174 / 2013</v>
      </c>
      <c r="E1008" s="4">
        <v>41375</v>
      </c>
      <c r="F1008" s="3" t="s">
        <v>2242</v>
      </c>
      <c r="G1008" s="5"/>
      <c r="H1008" s="3" t="s">
        <v>2243</v>
      </c>
      <c r="I1008" s="3">
        <v>12</v>
      </c>
      <c r="J1008" s="4">
        <v>41369</v>
      </c>
      <c r="K1008" s="6">
        <v>0.5</v>
      </c>
      <c r="L1008" s="3">
        <v>9</v>
      </c>
      <c r="M1008" s="3" t="s">
        <v>2061</v>
      </c>
      <c r="N1008" s="3" t="s">
        <v>2061</v>
      </c>
      <c r="O1008" s="5"/>
      <c r="P1008" s="3" t="s">
        <v>22</v>
      </c>
      <c r="Q1008" s="7"/>
      <c r="R1008" s="7"/>
    </row>
    <row r="1009" spans="1:18" ht="127.5" x14ac:dyDescent="0.25">
      <c r="A1009" s="3" t="s">
        <v>18</v>
      </c>
      <c r="B1009" s="3">
        <v>2013</v>
      </c>
      <c r="C1009" s="3" t="s">
        <v>2058</v>
      </c>
      <c r="D1009" s="3" t="str">
        <f>"175 / 2013"</f>
        <v>175 / 2013</v>
      </c>
      <c r="E1009" s="4">
        <v>41376</v>
      </c>
      <c r="F1009" s="3" t="s">
        <v>2244</v>
      </c>
      <c r="G1009" s="5"/>
      <c r="H1009" s="3" t="s">
        <v>2245</v>
      </c>
      <c r="I1009" s="3">
        <v>12</v>
      </c>
      <c r="J1009" s="4">
        <v>41369</v>
      </c>
      <c r="K1009" s="6">
        <v>0.5</v>
      </c>
      <c r="L1009" s="3">
        <v>10</v>
      </c>
      <c r="M1009" s="3" t="s">
        <v>2088</v>
      </c>
      <c r="N1009" s="3" t="s">
        <v>2088</v>
      </c>
      <c r="O1009" s="5"/>
      <c r="P1009" s="3" t="s">
        <v>22</v>
      </c>
      <c r="Q1009" s="7"/>
      <c r="R1009" s="7"/>
    </row>
    <row r="1010" spans="1:18" ht="140.25" x14ac:dyDescent="0.25">
      <c r="A1010" s="3" t="s">
        <v>18</v>
      </c>
      <c r="B1010" s="3">
        <v>2013</v>
      </c>
      <c r="C1010" s="3" t="s">
        <v>2058</v>
      </c>
      <c r="D1010" s="3" t="str">
        <f>"176 / 2013"</f>
        <v>176 / 2013</v>
      </c>
      <c r="E1010" s="4">
        <v>41375</v>
      </c>
      <c r="F1010" s="3" t="s">
        <v>2246</v>
      </c>
      <c r="G1010" s="5"/>
      <c r="H1010" s="3" t="s">
        <v>2247</v>
      </c>
      <c r="I1010" s="3">
        <v>12</v>
      </c>
      <c r="J1010" s="4">
        <v>41369</v>
      </c>
      <c r="K1010" s="6">
        <v>0.5</v>
      </c>
      <c r="L1010" s="3">
        <v>11</v>
      </c>
      <c r="M1010" s="3" t="s">
        <v>2088</v>
      </c>
      <c r="N1010" s="3" t="s">
        <v>2088</v>
      </c>
      <c r="O1010" s="5"/>
      <c r="P1010" s="3" t="s">
        <v>22</v>
      </c>
      <c r="Q1010" s="7"/>
      <c r="R1010" s="7"/>
    </row>
    <row r="1011" spans="1:18" ht="89.25" x14ac:dyDescent="0.25">
      <c r="A1011" s="3" t="s">
        <v>18</v>
      </c>
      <c r="B1011" s="3">
        <v>2013</v>
      </c>
      <c r="C1011" s="3" t="s">
        <v>2058</v>
      </c>
      <c r="D1011" s="3" t="str">
        <f>"177 / 2013"</f>
        <v>177 / 2013</v>
      </c>
      <c r="E1011" s="4">
        <v>41373</v>
      </c>
      <c r="F1011" s="3" t="s">
        <v>2248</v>
      </c>
      <c r="G1011" s="5"/>
      <c r="H1011" s="3" t="s">
        <v>2249</v>
      </c>
      <c r="I1011" s="3">
        <v>12</v>
      </c>
      <c r="J1011" s="4">
        <v>41369</v>
      </c>
      <c r="K1011" s="6">
        <v>0.5</v>
      </c>
      <c r="L1011" s="3">
        <v>12</v>
      </c>
      <c r="M1011" s="3" t="s">
        <v>35</v>
      </c>
      <c r="N1011" s="3" t="s">
        <v>35</v>
      </c>
      <c r="O1011" s="5"/>
      <c r="P1011" s="3" t="s">
        <v>22</v>
      </c>
      <c r="Q1011" s="7"/>
      <c r="R1011" s="7"/>
    </row>
    <row r="1012" spans="1:18" ht="114.75" x14ac:dyDescent="0.25">
      <c r="A1012" s="3" t="s">
        <v>18</v>
      </c>
      <c r="B1012" s="3">
        <v>2013</v>
      </c>
      <c r="C1012" s="3" t="s">
        <v>2058</v>
      </c>
      <c r="D1012" s="3" t="str">
        <f>"178 / 2013"</f>
        <v>178 / 2013</v>
      </c>
      <c r="E1012" s="4">
        <v>41375</v>
      </c>
      <c r="F1012" s="3" t="s">
        <v>2250</v>
      </c>
      <c r="G1012" s="5"/>
      <c r="H1012" s="3" t="s">
        <v>2251</v>
      </c>
      <c r="I1012" s="3">
        <v>12</v>
      </c>
      <c r="J1012" s="4">
        <v>41369</v>
      </c>
      <c r="K1012" s="6">
        <v>0.5</v>
      </c>
      <c r="L1012" s="3">
        <v>13</v>
      </c>
      <c r="M1012" s="3" t="s">
        <v>29</v>
      </c>
      <c r="N1012" s="3" t="s">
        <v>29</v>
      </c>
      <c r="O1012" s="5"/>
      <c r="P1012" s="3" t="s">
        <v>22</v>
      </c>
      <c r="Q1012" s="7"/>
      <c r="R1012" s="7"/>
    </row>
    <row r="1013" spans="1:18" ht="127.5" x14ac:dyDescent="0.25">
      <c r="A1013" s="3" t="s">
        <v>18</v>
      </c>
      <c r="B1013" s="3">
        <v>2013</v>
      </c>
      <c r="C1013" s="3" t="s">
        <v>2058</v>
      </c>
      <c r="D1013" s="3" t="str">
        <f>"179 / 2013"</f>
        <v>179 / 2013</v>
      </c>
      <c r="E1013" s="4">
        <v>41375</v>
      </c>
      <c r="F1013" s="3" t="s">
        <v>2252</v>
      </c>
      <c r="G1013" s="5"/>
      <c r="H1013" s="3" t="s">
        <v>2253</v>
      </c>
      <c r="I1013" s="3">
        <v>12</v>
      </c>
      <c r="J1013" s="4">
        <v>41369</v>
      </c>
      <c r="K1013" s="6">
        <v>0.5</v>
      </c>
      <c r="L1013" s="3">
        <v>14</v>
      </c>
      <c r="M1013" s="3" t="s">
        <v>29</v>
      </c>
      <c r="N1013" s="3" t="s">
        <v>29</v>
      </c>
      <c r="O1013" s="5"/>
      <c r="P1013" s="3" t="s">
        <v>22</v>
      </c>
      <c r="Q1013" s="7"/>
      <c r="R1013" s="7"/>
    </row>
    <row r="1014" spans="1:18" ht="38.25" x14ac:dyDescent="0.25">
      <c r="A1014" s="3" t="s">
        <v>18</v>
      </c>
      <c r="B1014" s="3">
        <v>2013</v>
      </c>
      <c r="C1014" s="3" t="s">
        <v>2058</v>
      </c>
      <c r="D1014" s="3" t="str">
        <f>"18 / 2013"</f>
        <v>18 / 2013</v>
      </c>
      <c r="E1014" s="4">
        <v>41302</v>
      </c>
      <c r="F1014" s="3" t="s">
        <v>2254</v>
      </c>
      <c r="G1014" s="5"/>
      <c r="H1014" s="3" t="s">
        <v>2255</v>
      </c>
      <c r="I1014" s="3">
        <v>1</v>
      </c>
      <c r="J1014" s="4">
        <v>41295</v>
      </c>
      <c r="K1014" s="6">
        <v>0.5</v>
      </c>
      <c r="L1014" s="3">
        <v>18</v>
      </c>
      <c r="M1014" s="3" t="s">
        <v>2256</v>
      </c>
      <c r="N1014" s="3" t="s">
        <v>2256</v>
      </c>
      <c r="O1014" s="5"/>
      <c r="P1014" s="3" t="s">
        <v>22</v>
      </c>
      <c r="Q1014" s="7"/>
      <c r="R1014" s="7"/>
    </row>
    <row r="1015" spans="1:18" ht="76.5" x14ac:dyDescent="0.25">
      <c r="A1015" s="3" t="s">
        <v>18</v>
      </c>
      <c r="B1015" s="3">
        <v>2013</v>
      </c>
      <c r="C1015" s="3" t="s">
        <v>2058</v>
      </c>
      <c r="D1015" s="3" t="str">
        <f>"180 / 2013"</f>
        <v>180 / 2013</v>
      </c>
      <c r="E1015" s="4">
        <v>41373</v>
      </c>
      <c r="F1015" s="3" t="s">
        <v>2257</v>
      </c>
      <c r="G1015" s="5"/>
      <c r="H1015" s="3" t="s">
        <v>2258</v>
      </c>
      <c r="I1015" s="3">
        <v>12</v>
      </c>
      <c r="J1015" s="4">
        <v>41369</v>
      </c>
      <c r="K1015" s="6">
        <v>0.5</v>
      </c>
      <c r="L1015" s="3">
        <v>15</v>
      </c>
      <c r="M1015" s="3" t="s">
        <v>2102</v>
      </c>
      <c r="N1015" s="3" t="s">
        <v>2102</v>
      </c>
      <c r="O1015" s="5"/>
      <c r="P1015" s="3" t="s">
        <v>22</v>
      </c>
      <c r="Q1015" s="7"/>
      <c r="R1015" s="7"/>
    </row>
    <row r="1016" spans="1:18" ht="76.5" x14ac:dyDescent="0.25">
      <c r="A1016" s="3" t="s">
        <v>18</v>
      </c>
      <c r="B1016" s="3">
        <v>2013</v>
      </c>
      <c r="C1016" s="3" t="s">
        <v>2058</v>
      </c>
      <c r="D1016" s="3" t="str">
        <f>"181 / 2013"</f>
        <v>181 / 2013</v>
      </c>
      <c r="E1016" s="4">
        <v>41373</v>
      </c>
      <c r="F1016" s="3" t="s">
        <v>2259</v>
      </c>
      <c r="G1016" s="5"/>
      <c r="H1016" s="3" t="s">
        <v>2260</v>
      </c>
      <c r="I1016" s="3">
        <v>12</v>
      </c>
      <c r="J1016" s="4">
        <v>41369</v>
      </c>
      <c r="K1016" s="6">
        <v>0.5</v>
      </c>
      <c r="L1016" s="3">
        <v>16</v>
      </c>
      <c r="M1016" s="3" t="s">
        <v>2102</v>
      </c>
      <c r="N1016" s="3" t="s">
        <v>2102</v>
      </c>
      <c r="O1016" s="5"/>
      <c r="P1016" s="3" t="s">
        <v>22</v>
      </c>
      <c r="Q1016" s="7"/>
      <c r="R1016" s="7"/>
    </row>
    <row r="1017" spans="1:18" ht="127.5" x14ac:dyDescent="0.25">
      <c r="A1017" s="3" t="s">
        <v>18</v>
      </c>
      <c r="B1017" s="3">
        <v>2013</v>
      </c>
      <c r="C1017" s="3" t="s">
        <v>2058</v>
      </c>
      <c r="D1017" s="3" t="str">
        <f>"182 / 2013"</f>
        <v>182 / 2013</v>
      </c>
      <c r="E1017" s="4">
        <v>41375</v>
      </c>
      <c r="F1017" s="3" t="s">
        <v>2261</v>
      </c>
      <c r="G1017" s="5"/>
      <c r="H1017" s="3" t="s">
        <v>2262</v>
      </c>
      <c r="I1017" s="3">
        <v>12</v>
      </c>
      <c r="J1017" s="4">
        <v>41369</v>
      </c>
      <c r="K1017" s="6">
        <v>0.5</v>
      </c>
      <c r="L1017" s="3">
        <v>17</v>
      </c>
      <c r="M1017" s="3" t="s">
        <v>2263</v>
      </c>
      <c r="N1017" s="3" t="s">
        <v>2263</v>
      </c>
      <c r="O1017" s="5"/>
      <c r="P1017" s="3" t="s">
        <v>22</v>
      </c>
      <c r="Q1017" s="7"/>
      <c r="R1017" s="7"/>
    </row>
    <row r="1018" spans="1:18" ht="89.25" x14ac:dyDescent="0.25">
      <c r="A1018" s="3" t="s">
        <v>18</v>
      </c>
      <c r="B1018" s="3">
        <v>2013</v>
      </c>
      <c r="C1018" s="3" t="s">
        <v>2058</v>
      </c>
      <c r="D1018" s="3" t="str">
        <f>"183 / 2013"</f>
        <v>183 / 2013</v>
      </c>
      <c r="E1018" s="4">
        <v>41375</v>
      </c>
      <c r="F1018" s="3" t="s">
        <v>2264</v>
      </c>
      <c r="G1018" s="5"/>
      <c r="H1018" s="3" t="s">
        <v>2265</v>
      </c>
      <c r="I1018" s="3">
        <v>12</v>
      </c>
      <c r="J1018" s="4">
        <v>41369</v>
      </c>
      <c r="K1018" s="6">
        <v>0.5</v>
      </c>
      <c r="L1018" s="3">
        <v>18</v>
      </c>
      <c r="M1018" s="3" t="s">
        <v>35</v>
      </c>
      <c r="N1018" s="3" t="s">
        <v>35</v>
      </c>
      <c r="O1018" s="5"/>
      <c r="P1018" s="3" t="s">
        <v>22</v>
      </c>
      <c r="Q1018" s="7"/>
      <c r="R1018" s="7"/>
    </row>
    <row r="1019" spans="1:18" ht="38.25" x14ac:dyDescent="0.25">
      <c r="A1019" s="3" t="s">
        <v>18</v>
      </c>
      <c r="B1019" s="3">
        <v>2013</v>
      </c>
      <c r="C1019" s="3" t="s">
        <v>2058</v>
      </c>
      <c r="D1019" s="3" t="str">
        <f>"184 / 2013"</f>
        <v>184 / 2013</v>
      </c>
      <c r="E1019" s="4">
        <v>41375</v>
      </c>
      <c r="F1019" s="3" t="s">
        <v>2266</v>
      </c>
      <c r="G1019" s="5"/>
      <c r="H1019" s="3" t="s">
        <v>2267</v>
      </c>
      <c r="I1019" s="3">
        <v>12</v>
      </c>
      <c r="J1019" s="4">
        <v>41369</v>
      </c>
      <c r="K1019" s="6">
        <v>0.5</v>
      </c>
      <c r="L1019" s="5"/>
      <c r="M1019" s="3" t="s">
        <v>2268</v>
      </c>
      <c r="N1019" s="3" t="s">
        <v>2268</v>
      </c>
      <c r="O1019" s="5"/>
      <c r="P1019" s="3" t="s">
        <v>74</v>
      </c>
      <c r="Q1019" s="7"/>
      <c r="R1019" s="7"/>
    </row>
    <row r="1020" spans="1:18" ht="38.25" x14ac:dyDescent="0.25">
      <c r="A1020" s="3" t="s">
        <v>18</v>
      </c>
      <c r="B1020" s="3">
        <v>2013</v>
      </c>
      <c r="C1020" s="3" t="s">
        <v>2058</v>
      </c>
      <c r="D1020" s="3" t="str">
        <f>"185 / 2013"</f>
        <v>185 / 2013</v>
      </c>
      <c r="E1020" s="4">
        <v>41375</v>
      </c>
      <c r="F1020" s="3" t="s">
        <v>2269</v>
      </c>
      <c r="G1020" s="5"/>
      <c r="H1020" s="3" t="s">
        <v>2270</v>
      </c>
      <c r="I1020" s="3">
        <v>12</v>
      </c>
      <c r="J1020" s="4">
        <v>41369</v>
      </c>
      <c r="K1020" s="6">
        <v>0.5</v>
      </c>
      <c r="L1020" s="5"/>
      <c r="M1020" s="3" t="s">
        <v>2268</v>
      </c>
      <c r="N1020" s="3" t="s">
        <v>2268</v>
      </c>
      <c r="O1020" s="5"/>
      <c r="P1020" s="3" t="s">
        <v>74</v>
      </c>
      <c r="Q1020" s="7"/>
      <c r="R1020" s="7"/>
    </row>
    <row r="1021" spans="1:18" ht="102" x14ac:dyDescent="0.25">
      <c r="A1021" s="3" t="s">
        <v>18</v>
      </c>
      <c r="B1021" s="3">
        <v>2013</v>
      </c>
      <c r="C1021" s="3" t="s">
        <v>2058</v>
      </c>
      <c r="D1021" s="3" t="str">
        <f>"186 / 2013"</f>
        <v>186 / 2013</v>
      </c>
      <c r="E1021" s="4">
        <v>41372</v>
      </c>
      <c r="F1021" s="3" t="s">
        <v>2271</v>
      </c>
      <c r="G1021" s="5"/>
      <c r="H1021" s="3" t="s">
        <v>2272</v>
      </c>
      <c r="I1021" s="3">
        <v>12</v>
      </c>
      <c r="J1021" s="4">
        <v>41369</v>
      </c>
      <c r="K1021" s="6">
        <v>0.5</v>
      </c>
      <c r="L1021" s="5"/>
      <c r="M1021" s="3" t="s">
        <v>2273</v>
      </c>
      <c r="N1021" s="3" t="s">
        <v>2273</v>
      </c>
      <c r="O1021" s="5"/>
      <c r="P1021" s="3" t="s">
        <v>74</v>
      </c>
      <c r="Q1021" s="7"/>
      <c r="R1021" s="7"/>
    </row>
    <row r="1022" spans="1:18" ht="51" x14ac:dyDescent="0.25">
      <c r="A1022" s="3" t="s">
        <v>18</v>
      </c>
      <c r="B1022" s="3">
        <v>2013</v>
      </c>
      <c r="C1022" s="3" t="s">
        <v>2058</v>
      </c>
      <c r="D1022" s="3" t="str">
        <f>"187 / 2013"</f>
        <v>187 / 2013</v>
      </c>
      <c r="E1022" s="4">
        <v>41372</v>
      </c>
      <c r="F1022" s="3" t="s">
        <v>2274</v>
      </c>
      <c r="G1022" s="5"/>
      <c r="H1022" s="3" t="s">
        <v>2275</v>
      </c>
      <c r="I1022" s="3">
        <v>12</v>
      </c>
      <c r="J1022" s="4">
        <v>41369</v>
      </c>
      <c r="K1022" s="6">
        <v>0.5</v>
      </c>
      <c r="L1022" s="5"/>
      <c r="M1022" s="3" t="s">
        <v>2061</v>
      </c>
      <c r="N1022" s="3" t="s">
        <v>2061</v>
      </c>
      <c r="O1022" s="5"/>
      <c r="P1022" s="3" t="s">
        <v>74</v>
      </c>
      <c r="Q1022" s="7"/>
      <c r="R1022" s="7"/>
    </row>
    <row r="1023" spans="1:18" ht="51" x14ac:dyDescent="0.25">
      <c r="A1023" s="3" t="s">
        <v>18</v>
      </c>
      <c r="B1023" s="3">
        <v>2013</v>
      </c>
      <c r="C1023" s="3" t="s">
        <v>2058</v>
      </c>
      <c r="D1023" s="3" t="str">
        <f>"188 / 2013"</f>
        <v>188 / 2013</v>
      </c>
      <c r="E1023" s="4">
        <v>41372</v>
      </c>
      <c r="F1023" s="3" t="s">
        <v>2276</v>
      </c>
      <c r="G1023" s="5"/>
      <c r="H1023" s="3" t="s">
        <v>2277</v>
      </c>
      <c r="I1023" s="3">
        <v>12</v>
      </c>
      <c r="J1023" s="4">
        <v>41369</v>
      </c>
      <c r="K1023" s="6">
        <v>0.5</v>
      </c>
      <c r="L1023" s="5"/>
      <c r="M1023" s="3" t="s">
        <v>2061</v>
      </c>
      <c r="N1023" s="3" t="s">
        <v>2061</v>
      </c>
      <c r="O1023" s="5"/>
      <c r="P1023" s="3" t="s">
        <v>74</v>
      </c>
      <c r="Q1023" s="7"/>
      <c r="R1023" s="7"/>
    </row>
    <row r="1024" spans="1:18" ht="63.75" x14ac:dyDescent="0.25">
      <c r="A1024" s="3" t="s">
        <v>18</v>
      </c>
      <c r="B1024" s="3">
        <v>2013</v>
      </c>
      <c r="C1024" s="3" t="s">
        <v>2058</v>
      </c>
      <c r="D1024" s="3" t="str">
        <f>"189 / 2013"</f>
        <v>189 / 2013</v>
      </c>
      <c r="E1024" s="4">
        <v>41372</v>
      </c>
      <c r="F1024" s="3" t="s">
        <v>2278</v>
      </c>
      <c r="G1024" s="5"/>
      <c r="H1024" s="3" t="s">
        <v>2279</v>
      </c>
      <c r="I1024" s="3">
        <v>12</v>
      </c>
      <c r="J1024" s="4">
        <v>41369</v>
      </c>
      <c r="K1024" s="6">
        <v>0.5</v>
      </c>
      <c r="L1024" s="5"/>
      <c r="M1024" s="3" t="s">
        <v>2280</v>
      </c>
      <c r="N1024" s="3" t="s">
        <v>2280</v>
      </c>
      <c r="O1024" s="5"/>
      <c r="P1024" s="3" t="s">
        <v>74</v>
      </c>
      <c r="Q1024" s="7"/>
      <c r="R1024" s="7"/>
    </row>
    <row r="1025" spans="1:18" ht="114.75" x14ac:dyDescent="0.25">
      <c r="A1025" s="3" t="s">
        <v>18</v>
      </c>
      <c r="B1025" s="3">
        <v>2013</v>
      </c>
      <c r="C1025" s="3" t="s">
        <v>2058</v>
      </c>
      <c r="D1025" s="3" t="str">
        <f>"19 / 2013"</f>
        <v>19 / 2013</v>
      </c>
      <c r="E1025" s="4">
        <v>41298</v>
      </c>
      <c r="F1025" s="3" t="s">
        <v>2281</v>
      </c>
      <c r="G1025" s="5"/>
      <c r="H1025" s="3" t="s">
        <v>2282</v>
      </c>
      <c r="I1025" s="3">
        <v>1</v>
      </c>
      <c r="J1025" s="4">
        <v>41295</v>
      </c>
      <c r="K1025" s="6">
        <v>0.5</v>
      </c>
      <c r="L1025" s="3">
        <v>19</v>
      </c>
      <c r="M1025" s="3" t="s">
        <v>2102</v>
      </c>
      <c r="N1025" s="3" t="s">
        <v>2102</v>
      </c>
      <c r="O1025" s="5"/>
      <c r="P1025" s="3" t="s">
        <v>22</v>
      </c>
      <c r="Q1025" s="7"/>
      <c r="R1025" s="7"/>
    </row>
    <row r="1026" spans="1:18" ht="51" x14ac:dyDescent="0.25">
      <c r="A1026" s="3" t="s">
        <v>18</v>
      </c>
      <c r="B1026" s="3">
        <v>2013</v>
      </c>
      <c r="C1026" s="3" t="s">
        <v>2058</v>
      </c>
      <c r="D1026" s="3" t="str">
        <f>"190 / 2013"</f>
        <v>190 / 2013</v>
      </c>
      <c r="E1026" s="4">
        <v>41373</v>
      </c>
      <c r="F1026" s="3" t="s">
        <v>2283</v>
      </c>
      <c r="G1026" s="5"/>
      <c r="H1026" s="3" t="s">
        <v>2284</v>
      </c>
      <c r="I1026" s="3">
        <v>12</v>
      </c>
      <c r="J1026" s="4">
        <v>41369</v>
      </c>
      <c r="K1026" s="6">
        <v>0.5</v>
      </c>
      <c r="L1026" s="5"/>
      <c r="M1026" s="3" t="s">
        <v>2256</v>
      </c>
      <c r="N1026" s="3" t="s">
        <v>2256</v>
      </c>
      <c r="O1026" s="5"/>
      <c r="P1026" s="3" t="s">
        <v>22</v>
      </c>
      <c r="Q1026" s="7"/>
      <c r="R1026" s="7"/>
    </row>
    <row r="1027" spans="1:18" ht="51" x14ac:dyDescent="0.25">
      <c r="A1027" s="3" t="s">
        <v>18</v>
      </c>
      <c r="B1027" s="3">
        <v>2013</v>
      </c>
      <c r="C1027" s="3" t="s">
        <v>2058</v>
      </c>
      <c r="D1027" s="3" t="str">
        <f>"191 / 2013"</f>
        <v>191 / 2013</v>
      </c>
      <c r="E1027" s="4">
        <v>41386</v>
      </c>
      <c r="F1027" s="3" t="s">
        <v>2285</v>
      </c>
      <c r="G1027" s="5"/>
      <c r="H1027" s="3" t="s">
        <v>2286</v>
      </c>
      <c r="I1027" s="3">
        <v>13</v>
      </c>
      <c r="J1027" s="4">
        <v>41382</v>
      </c>
      <c r="K1027" s="6">
        <v>0.5</v>
      </c>
      <c r="L1027" s="3">
        <v>1</v>
      </c>
      <c r="M1027" s="3" t="s">
        <v>2061</v>
      </c>
      <c r="N1027" s="3" t="s">
        <v>2061</v>
      </c>
      <c r="O1027" s="5"/>
      <c r="P1027" s="3" t="s">
        <v>22</v>
      </c>
      <c r="Q1027" s="7"/>
      <c r="R1027" s="7"/>
    </row>
    <row r="1028" spans="1:18" ht="51" x14ac:dyDescent="0.25">
      <c r="A1028" s="3" t="s">
        <v>18</v>
      </c>
      <c r="B1028" s="3">
        <v>2013</v>
      </c>
      <c r="C1028" s="3" t="s">
        <v>2058</v>
      </c>
      <c r="D1028" s="3" t="str">
        <f>"192 / 2013"</f>
        <v>192 / 2013</v>
      </c>
      <c r="E1028" s="4">
        <v>41390</v>
      </c>
      <c r="F1028" s="3" t="s">
        <v>2287</v>
      </c>
      <c r="G1028" s="5"/>
      <c r="H1028" s="3" t="s">
        <v>2288</v>
      </c>
      <c r="I1028" s="3">
        <v>13</v>
      </c>
      <c r="J1028" s="4">
        <v>41382</v>
      </c>
      <c r="K1028" s="6">
        <v>0.5</v>
      </c>
      <c r="L1028" s="3">
        <v>2</v>
      </c>
      <c r="M1028" s="3" t="s">
        <v>2280</v>
      </c>
      <c r="N1028" s="3" t="s">
        <v>2280</v>
      </c>
      <c r="O1028" s="5"/>
      <c r="P1028" s="3" t="s">
        <v>22</v>
      </c>
      <c r="Q1028" s="7"/>
      <c r="R1028" s="7"/>
    </row>
    <row r="1029" spans="1:18" ht="102" x14ac:dyDescent="0.25">
      <c r="A1029" s="3" t="s">
        <v>18</v>
      </c>
      <c r="B1029" s="3">
        <v>2013</v>
      </c>
      <c r="C1029" s="3" t="s">
        <v>2058</v>
      </c>
      <c r="D1029" s="3" t="str">
        <f>"193 / 2013"</f>
        <v>193 / 2013</v>
      </c>
      <c r="E1029" s="4">
        <v>41389</v>
      </c>
      <c r="F1029" s="3" t="s">
        <v>2289</v>
      </c>
      <c r="G1029" s="5"/>
      <c r="H1029" s="3" t="s">
        <v>2290</v>
      </c>
      <c r="I1029" s="3">
        <v>13</v>
      </c>
      <c r="J1029" s="4">
        <v>41382</v>
      </c>
      <c r="K1029" s="6">
        <v>0.5</v>
      </c>
      <c r="L1029" s="3">
        <v>3</v>
      </c>
      <c r="M1029" s="3" t="s">
        <v>2150</v>
      </c>
      <c r="N1029" s="3" t="s">
        <v>2150</v>
      </c>
      <c r="O1029" s="5"/>
      <c r="P1029" s="3" t="s">
        <v>22</v>
      </c>
      <c r="Q1029" s="7"/>
      <c r="R1029" s="7"/>
    </row>
    <row r="1030" spans="1:18" ht="51" x14ac:dyDescent="0.25">
      <c r="A1030" s="3" t="s">
        <v>18</v>
      </c>
      <c r="B1030" s="3">
        <v>2013</v>
      </c>
      <c r="C1030" s="3" t="s">
        <v>2058</v>
      </c>
      <c r="D1030" s="3" t="str">
        <f>"194 / 2013"</f>
        <v>194 / 2013</v>
      </c>
      <c r="E1030" s="4">
        <v>41390</v>
      </c>
      <c r="F1030" s="3" t="s">
        <v>2291</v>
      </c>
      <c r="G1030" s="5"/>
      <c r="H1030" s="3" t="s">
        <v>2292</v>
      </c>
      <c r="I1030" s="3">
        <v>13</v>
      </c>
      <c r="J1030" s="4">
        <v>41382</v>
      </c>
      <c r="K1030" s="6">
        <v>0.5</v>
      </c>
      <c r="L1030" s="3">
        <v>4</v>
      </c>
      <c r="M1030" s="3" t="s">
        <v>2099</v>
      </c>
      <c r="N1030" s="3" t="s">
        <v>2099</v>
      </c>
      <c r="O1030" s="5"/>
      <c r="P1030" s="3" t="s">
        <v>22</v>
      </c>
      <c r="Q1030" s="7"/>
      <c r="R1030" s="7"/>
    </row>
    <row r="1031" spans="1:18" ht="89.25" x14ac:dyDescent="0.25">
      <c r="A1031" s="3" t="s">
        <v>18</v>
      </c>
      <c r="B1031" s="3">
        <v>2013</v>
      </c>
      <c r="C1031" s="3" t="s">
        <v>2058</v>
      </c>
      <c r="D1031" s="3" t="str">
        <f>"196 / 2013"</f>
        <v>196 / 2013</v>
      </c>
      <c r="E1031" s="4">
        <v>41390</v>
      </c>
      <c r="F1031" s="3" t="s">
        <v>2293</v>
      </c>
      <c r="G1031" s="5"/>
      <c r="H1031" s="3" t="s">
        <v>2294</v>
      </c>
      <c r="I1031" s="3">
        <v>13</v>
      </c>
      <c r="J1031" s="4">
        <v>41382</v>
      </c>
      <c r="K1031" s="6">
        <v>0.5</v>
      </c>
      <c r="L1031" s="3">
        <v>6</v>
      </c>
      <c r="M1031" s="3" t="s">
        <v>29</v>
      </c>
      <c r="N1031" s="3" t="s">
        <v>29</v>
      </c>
      <c r="O1031" s="5"/>
      <c r="P1031" s="3" t="s">
        <v>22</v>
      </c>
      <c r="Q1031" s="7"/>
      <c r="R1031" s="7"/>
    </row>
    <row r="1032" spans="1:18" ht="76.5" x14ac:dyDescent="0.25">
      <c r="A1032" s="3" t="s">
        <v>18</v>
      </c>
      <c r="B1032" s="3">
        <v>2013</v>
      </c>
      <c r="C1032" s="3" t="s">
        <v>2058</v>
      </c>
      <c r="D1032" s="3" t="str">
        <f>"198 / 2013"</f>
        <v>198 / 2013</v>
      </c>
      <c r="E1032" s="4">
        <v>41387</v>
      </c>
      <c r="F1032" s="3" t="s">
        <v>2295</v>
      </c>
      <c r="G1032" s="5"/>
      <c r="H1032" s="3" t="s">
        <v>2296</v>
      </c>
      <c r="I1032" s="3">
        <v>13</v>
      </c>
      <c r="J1032" s="4">
        <v>41382</v>
      </c>
      <c r="K1032" s="6">
        <v>0.5</v>
      </c>
      <c r="L1032" s="3">
        <v>8</v>
      </c>
      <c r="M1032" s="3" t="s">
        <v>2297</v>
      </c>
      <c r="N1032" s="3" t="s">
        <v>2297</v>
      </c>
      <c r="O1032" s="5"/>
      <c r="P1032" s="3" t="s">
        <v>22</v>
      </c>
      <c r="Q1032" s="7"/>
      <c r="R1032" s="7"/>
    </row>
    <row r="1033" spans="1:18" ht="63.75" x14ac:dyDescent="0.25">
      <c r="A1033" s="3" t="s">
        <v>18</v>
      </c>
      <c r="B1033" s="3">
        <v>2013</v>
      </c>
      <c r="C1033" s="3" t="s">
        <v>2058</v>
      </c>
      <c r="D1033" s="3" t="str">
        <f>"199 / 2013"</f>
        <v>199 / 2013</v>
      </c>
      <c r="E1033" s="4">
        <v>41390</v>
      </c>
      <c r="F1033" s="3" t="s">
        <v>2298</v>
      </c>
      <c r="G1033" s="5"/>
      <c r="H1033" s="3" t="s">
        <v>2299</v>
      </c>
      <c r="I1033" s="3">
        <v>13</v>
      </c>
      <c r="J1033" s="4">
        <v>41382</v>
      </c>
      <c r="K1033" s="6">
        <v>0.5</v>
      </c>
      <c r="L1033" s="3">
        <v>9</v>
      </c>
      <c r="M1033" s="3" t="s">
        <v>2300</v>
      </c>
      <c r="N1033" s="3" t="s">
        <v>2300</v>
      </c>
      <c r="O1033" s="5"/>
      <c r="P1033" s="3" t="s">
        <v>22</v>
      </c>
      <c r="Q1033" s="7"/>
      <c r="R1033" s="7"/>
    </row>
    <row r="1034" spans="1:18" ht="114.75" x14ac:dyDescent="0.25">
      <c r="A1034" s="3" t="s">
        <v>18</v>
      </c>
      <c r="B1034" s="3">
        <v>2013</v>
      </c>
      <c r="C1034" s="3" t="s">
        <v>2058</v>
      </c>
      <c r="D1034" s="3" t="str">
        <f>"20 / 2013"</f>
        <v>20 / 2013</v>
      </c>
      <c r="E1034" s="4">
        <v>41299</v>
      </c>
      <c r="F1034" s="3" t="s">
        <v>2301</v>
      </c>
      <c r="G1034" s="5"/>
      <c r="H1034" s="3" t="s">
        <v>2302</v>
      </c>
      <c r="I1034" s="3">
        <v>1</v>
      </c>
      <c r="J1034" s="4">
        <v>41295</v>
      </c>
      <c r="K1034" s="6">
        <v>0.5</v>
      </c>
      <c r="L1034" s="3">
        <v>20</v>
      </c>
      <c r="M1034" s="3" t="s">
        <v>2102</v>
      </c>
      <c r="N1034" s="3" t="s">
        <v>2102</v>
      </c>
      <c r="O1034" s="5"/>
      <c r="P1034" s="3" t="s">
        <v>22</v>
      </c>
      <c r="Q1034" s="7"/>
      <c r="R1034" s="7"/>
    </row>
    <row r="1035" spans="1:18" ht="127.5" x14ac:dyDescent="0.25">
      <c r="A1035" s="3" t="s">
        <v>18</v>
      </c>
      <c r="B1035" s="3">
        <v>2013</v>
      </c>
      <c r="C1035" s="3" t="s">
        <v>2058</v>
      </c>
      <c r="D1035" s="3" t="str">
        <f>"200 / 2013"</f>
        <v>200 / 2013</v>
      </c>
      <c r="E1035" s="4">
        <v>41393</v>
      </c>
      <c r="F1035" s="3" t="s">
        <v>2303</v>
      </c>
      <c r="G1035" s="5"/>
      <c r="H1035" s="3" t="s">
        <v>2304</v>
      </c>
      <c r="I1035" s="3">
        <v>13</v>
      </c>
      <c r="J1035" s="4">
        <v>41382</v>
      </c>
      <c r="K1035" s="6">
        <v>0.5</v>
      </c>
      <c r="L1035" s="3">
        <v>10</v>
      </c>
      <c r="M1035" s="3" t="s">
        <v>2117</v>
      </c>
      <c r="N1035" s="3" t="s">
        <v>2117</v>
      </c>
      <c r="O1035" s="5"/>
      <c r="P1035" s="3" t="s">
        <v>22</v>
      </c>
      <c r="Q1035" s="7"/>
      <c r="R1035" s="7"/>
    </row>
    <row r="1036" spans="1:18" ht="76.5" x14ac:dyDescent="0.25">
      <c r="A1036" s="3" t="s">
        <v>18</v>
      </c>
      <c r="B1036" s="3">
        <v>2013</v>
      </c>
      <c r="C1036" s="3" t="s">
        <v>2058</v>
      </c>
      <c r="D1036" s="3" t="str">
        <f>"201 / 2013"</f>
        <v>201 / 2013</v>
      </c>
      <c r="E1036" s="4">
        <v>41387</v>
      </c>
      <c r="F1036" s="3" t="s">
        <v>2305</v>
      </c>
      <c r="G1036" s="5"/>
      <c r="H1036" s="3" t="s">
        <v>2101</v>
      </c>
      <c r="I1036" s="3">
        <v>13</v>
      </c>
      <c r="J1036" s="4">
        <v>41382</v>
      </c>
      <c r="K1036" s="6">
        <v>0.5</v>
      </c>
      <c r="L1036" s="3">
        <v>11</v>
      </c>
      <c r="M1036" s="3" t="s">
        <v>2102</v>
      </c>
      <c r="N1036" s="3" t="s">
        <v>2102</v>
      </c>
      <c r="O1036" s="5"/>
      <c r="P1036" s="3" t="s">
        <v>22</v>
      </c>
      <c r="Q1036" s="7"/>
      <c r="R1036" s="7"/>
    </row>
    <row r="1037" spans="1:18" ht="76.5" x14ac:dyDescent="0.25">
      <c r="A1037" s="3" t="s">
        <v>18</v>
      </c>
      <c r="B1037" s="3">
        <v>2013</v>
      </c>
      <c r="C1037" s="3" t="s">
        <v>2058</v>
      </c>
      <c r="D1037" s="3" t="str">
        <f>"202 / 2013"</f>
        <v>202 / 2013</v>
      </c>
      <c r="E1037" s="4">
        <v>41390</v>
      </c>
      <c r="F1037" s="3" t="s">
        <v>2306</v>
      </c>
      <c r="G1037" s="5"/>
      <c r="H1037" s="3" t="s">
        <v>2307</v>
      </c>
      <c r="I1037" s="3">
        <v>12</v>
      </c>
      <c r="J1037" s="4">
        <v>41382</v>
      </c>
      <c r="K1037" s="6">
        <v>0.5</v>
      </c>
      <c r="L1037" s="3">
        <v>12</v>
      </c>
      <c r="M1037" s="3" t="s">
        <v>2102</v>
      </c>
      <c r="N1037" s="3" t="s">
        <v>2102</v>
      </c>
      <c r="O1037" s="5"/>
      <c r="P1037" s="3" t="s">
        <v>22</v>
      </c>
      <c r="Q1037" s="7"/>
      <c r="R1037" s="7"/>
    </row>
    <row r="1038" spans="1:18" ht="63.75" x14ac:dyDescent="0.25">
      <c r="A1038" s="3" t="s">
        <v>18</v>
      </c>
      <c r="B1038" s="3">
        <v>2013</v>
      </c>
      <c r="C1038" s="3" t="s">
        <v>2058</v>
      </c>
      <c r="D1038" s="3" t="str">
        <f>"203 / 2013"</f>
        <v>203 / 2013</v>
      </c>
      <c r="E1038" s="4">
        <v>41387</v>
      </c>
      <c r="F1038" s="3" t="s">
        <v>2308</v>
      </c>
      <c r="G1038" s="5"/>
      <c r="H1038" s="3" t="s">
        <v>2309</v>
      </c>
      <c r="I1038" s="3">
        <v>13</v>
      </c>
      <c r="J1038" s="4">
        <v>41382</v>
      </c>
      <c r="K1038" s="6">
        <v>0.5</v>
      </c>
      <c r="L1038" s="3">
        <v>13</v>
      </c>
      <c r="M1038" s="3" t="s">
        <v>2150</v>
      </c>
      <c r="N1038" s="3" t="s">
        <v>2150</v>
      </c>
      <c r="O1038" s="5"/>
      <c r="P1038" s="3" t="s">
        <v>22</v>
      </c>
      <c r="Q1038" s="7"/>
      <c r="R1038" s="7"/>
    </row>
    <row r="1039" spans="1:18" ht="76.5" x14ac:dyDescent="0.25">
      <c r="A1039" s="3" t="s">
        <v>18</v>
      </c>
      <c r="B1039" s="3">
        <v>2013</v>
      </c>
      <c r="C1039" s="3" t="s">
        <v>2058</v>
      </c>
      <c r="D1039" s="3" t="str">
        <f>"204 / 2013"</f>
        <v>204 / 2013</v>
      </c>
      <c r="E1039" s="4">
        <v>41386</v>
      </c>
      <c r="F1039" s="3" t="s">
        <v>2310</v>
      </c>
      <c r="G1039" s="5"/>
      <c r="H1039" s="3" t="s">
        <v>2210</v>
      </c>
      <c r="I1039" s="3">
        <v>13</v>
      </c>
      <c r="J1039" s="4">
        <v>41382</v>
      </c>
      <c r="K1039" s="6">
        <v>0.5</v>
      </c>
      <c r="L1039" s="3">
        <v>14</v>
      </c>
      <c r="M1039" s="3" t="s">
        <v>2211</v>
      </c>
      <c r="N1039" s="3" t="s">
        <v>2211</v>
      </c>
      <c r="O1039" s="5"/>
      <c r="P1039" s="3" t="s">
        <v>22</v>
      </c>
      <c r="Q1039" s="7"/>
      <c r="R1039" s="7"/>
    </row>
    <row r="1040" spans="1:18" ht="51" x14ac:dyDescent="0.25">
      <c r="A1040" s="3" t="s">
        <v>18</v>
      </c>
      <c r="B1040" s="3">
        <v>2013</v>
      </c>
      <c r="C1040" s="3" t="s">
        <v>2058</v>
      </c>
      <c r="D1040" s="3" t="str">
        <f>"205 / 2013"</f>
        <v>205 / 2013</v>
      </c>
      <c r="E1040" s="4">
        <v>41389</v>
      </c>
      <c r="F1040" s="3" t="s">
        <v>2311</v>
      </c>
      <c r="G1040" s="5"/>
      <c r="H1040" s="3" t="s">
        <v>2312</v>
      </c>
      <c r="I1040" s="3">
        <v>13</v>
      </c>
      <c r="J1040" s="4">
        <v>41382</v>
      </c>
      <c r="K1040" s="6">
        <v>0.5</v>
      </c>
      <c r="L1040" s="3">
        <v>15</v>
      </c>
      <c r="M1040" s="3" t="s">
        <v>2132</v>
      </c>
      <c r="N1040" s="3" t="s">
        <v>2132</v>
      </c>
      <c r="O1040" s="5"/>
      <c r="P1040" s="3" t="s">
        <v>22</v>
      </c>
      <c r="Q1040" s="7"/>
      <c r="R1040" s="7"/>
    </row>
    <row r="1041" spans="1:18" ht="63.75" x14ac:dyDescent="0.25">
      <c r="A1041" s="3" t="s">
        <v>18</v>
      </c>
      <c r="B1041" s="3">
        <v>2013</v>
      </c>
      <c r="C1041" s="3" t="s">
        <v>2058</v>
      </c>
      <c r="D1041" s="3" t="str">
        <f>"206 / 2013"</f>
        <v>206 / 2013</v>
      </c>
      <c r="E1041" s="4">
        <v>41389</v>
      </c>
      <c r="F1041" s="3" t="s">
        <v>2313</v>
      </c>
      <c r="G1041" s="5"/>
      <c r="H1041" s="3" t="s">
        <v>2314</v>
      </c>
      <c r="I1041" s="3">
        <v>13</v>
      </c>
      <c r="J1041" s="4">
        <v>41382</v>
      </c>
      <c r="K1041" s="6">
        <v>0.5</v>
      </c>
      <c r="L1041" s="3">
        <v>16</v>
      </c>
      <c r="M1041" s="3" t="s">
        <v>2300</v>
      </c>
      <c r="N1041" s="3" t="s">
        <v>2300</v>
      </c>
      <c r="O1041" s="5"/>
      <c r="P1041" s="3" t="s">
        <v>22</v>
      </c>
      <c r="Q1041" s="7"/>
      <c r="R1041" s="7"/>
    </row>
    <row r="1042" spans="1:18" ht="76.5" x14ac:dyDescent="0.25">
      <c r="A1042" s="3" t="s">
        <v>18</v>
      </c>
      <c r="B1042" s="3">
        <v>2013</v>
      </c>
      <c r="C1042" s="3" t="s">
        <v>2058</v>
      </c>
      <c r="D1042" s="3" t="str">
        <f>"207 / 2013"</f>
        <v>207 / 2013</v>
      </c>
      <c r="E1042" s="4">
        <v>41383</v>
      </c>
      <c r="F1042" s="3" t="s">
        <v>2315</v>
      </c>
      <c r="G1042" s="5"/>
      <c r="H1042" s="3" t="s">
        <v>2316</v>
      </c>
      <c r="I1042" s="3">
        <v>13</v>
      </c>
      <c r="J1042" s="4">
        <v>41382</v>
      </c>
      <c r="K1042" s="6">
        <v>0.5</v>
      </c>
      <c r="L1042" s="3">
        <v>17</v>
      </c>
      <c r="M1042" s="3" t="s">
        <v>2102</v>
      </c>
      <c r="N1042" s="3" t="s">
        <v>2102</v>
      </c>
      <c r="O1042" s="5"/>
      <c r="P1042" s="3" t="s">
        <v>22</v>
      </c>
      <c r="Q1042" s="7"/>
      <c r="R1042" s="7"/>
    </row>
    <row r="1043" spans="1:18" ht="51" x14ac:dyDescent="0.25">
      <c r="A1043" s="3" t="s">
        <v>18</v>
      </c>
      <c r="B1043" s="3">
        <v>2013</v>
      </c>
      <c r="C1043" s="3" t="s">
        <v>2058</v>
      </c>
      <c r="D1043" s="3" t="str">
        <f>"209 / 2013"</f>
        <v>209 / 2013</v>
      </c>
      <c r="E1043" s="4">
        <v>41389</v>
      </c>
      <c r="F1043" s="3" t="s">
        <v>2317</v>
      </c>
      <c r="G1043" s="5"/>
      <c r="H1043" s="3" t="s">
        <v>2318</v>
      </c>
      <c r="I1043" s="3">
        <v>13</v>
      </c>
      <c r="J1043" s="4">
        <v>41382</v>
      </c>
      <c r="K1043" s="6">
        <v>0.5</v>
      </c>
      <c r="L1043" s="3">
        <v>19</v>
      </c>
      <c r="M1043" s="3" t="s">
        <v>2280</v>
      </c>
      <c r="N1043" s="3" t="s">
        <v>2280</v>
      </c>
      <c r="O1043" s="5"/>
      <c r="P1043" s="3" t="s">
        <v>22</v>
      </c>
      <c r="Q1043" s="7"/>
      <c r="R1043" s="7"/>
    </row>
    <row r="1044" spans="1:18" ht="51" x14ac:dyDescent="0.25">
      <c r="A1044" s="3" t="s">
        <v>18</v>
      </c>
      <c r="B1044" s="3">
        <v>2013</v>
      </c>
      <c r="C1044" s="3" t="s">
        <v>2058</v>
      </c>
      <c r="D1044" s="3" t="str">
        <f>"210 / 2013"</f>
        <v>210 / 2013</v>
      </c>
      <c r="E1044" s="4">
        <v>41389</v>
      </c>
      <c r="F1044" s="3" t="s">
        <v>2319</v>
      </c>
      <c r="G1044" s="5"/>
      <c r="H1044" s="3" t="s">
        <v>2320</v>
      </c>
      <c r="I1044" s="3">
        <v>13</v>
      </c>
      <c r="J1044" s="4">
        <v>41382</v>
      </c>
      <c r="K1044" s="6">
        <v>0.5</v>
      </c>
      <c r="L1044" s="3">
        <v>20</v>
      </c>
      <c r="M1044" s="3" t="s">
        <v>2280</v>
      </c>
      <c r="N1044" s="3" t="s">
        <v>2280</v>
      </c>
      <c r="O1044" s="5"/>
      <c r="P1044" s="3" t="s">
        <v>22</v>
      </c>
      <c r="Q1044" s="7"/>
      <c r="R1044" s="7"/>
    </row>
    <row r="1045" spans="1:18" ht="76.5" x14ac:dyDescent="0.25">
      <c r="A1045" s="3" t="s">
        <v>18</v>
      </c>
      <c r="B1045" s="3">
        <v>2013</v>
      </c>
      <c r="C1045" s="3" t="s">
        <v>2058</v>
      </c>
      <c r="D1045" s="3" t="str">
        <f>"211 / 2013"</f>
        <v>211 / 2013</v>
      </c>
      <c r="E1045" s="4">
        <v>41386</v>
      </c>
      <c r="F1045" s="3" t="s">
        <v>2321</v>
      </c>
      <c r="G1045" s="5"/>
      <c r="H1045" s="3" t="s">
        <v>2322</v>
      </c>
      <c r="I1045" s="3">
        <v>13</v>
      </c>
      <c r="J1045" s="4">
        <v>41382</v>
      </c>
      <c r="K1045" s="6">
        <v>0.5</v>
      </c>
      <c r="L1045" s="3">
        <v>21</v>
      </c>
      <c r="M1045" s="3" t="s">
        <v>2102</v>
      </c>
      <c r="N1045" s="3" t="s">
        <v>2102</v>
      </c>
      <c r="O1045" s="5"/>
      <c r="P1045" s="3" t="s">
        <v>22</v>
      </c>
      <c r="Q1045" s="7"/>
      <c r="R1045" s="7"/>
    </row>
    <row r="1046" spans="1:18" ht="76.5" x14ac:dyDescent="0.25">
      <c r="A1046" s="3" t="s">
        <v>18</v>
      </c>
      <c r="B1046" s="3">
        <v>2013</v>
      </c>
      <c r="C1046" s="3" t="s">
        <v>2058</v>
      </c>
      <c r="D1046" s="3" t="str">
        <f>"212 / 2013"</f>
        <v>212 / 2013</v>
      </c>
      <c r="E1046" s="4">
        <v>41383</v>
      </c>
      <c r="F1046" s="3" t="s">
        <v>2323</v>
      </c>
      <c r="G1046" s="5"/>
      <c r="H1046" s="3" t="s">
        <v>2324</v>
      </c>
      <c r="I1046" s="3">
        <v>13</v>
      </c>
      <c r="J1046" s="4">
        <v>41382</v>
      </c>
      <c r="K1046" s="6">
        <v>0.5</v>
      </c>
      <c r="L1046" s="3">
        <v>22</v>
      </c>
      <c r="M1046" s="3" t="s">
        <v>2102</v>
      </c>
      <c r="N1046" s="3" t="s">
        <v>2102</v>
      </c>
      <c r="O1046" s="5"/>
      <c r="P1046" s="3" t="s">
        <v>22</v>
      </c>
      <c r="Q1046" s="7"/>
      <c r="R1046" s="7"/>
    </row>
    <row r="1047" spans="1:18" ht="76.5" x14ac:dyDescent="0.25">
      <c r="A1047" s="3" t="s">
        <v>18</v>
      </c>
      <c r="B1047" s="3">
        <v>2013</v>
      </c>
      <c r="C1047" s="3" t="s">
        <v>2058</v>
      </c>
      <c r="D1047" s="3" t="str">
        <f>"213 / 2013"</f>
        <v>213 / 2013</v>
      </c>
      <c r="E1047" s="4">
        <v>41383</v>
      </c>
      <c r="F1047" s="3" t="s">
        <v>2325</v>
      </c>
      <c r="G1047" s="5"/>
      <c r="H1047" s="3" t="s">
        <v>2326</v>
      </c>
      <c r="I1047" s="3">
        <v>13</v>
      </c>
      <c r="J1047" s="4">
        <v>41382</v>
      </c>
      <c r="K1047" s="6">
        <v>0.5</v>
      </c>
      <c r="L1047" s="3">
        <v>23</v>
      </c>
      <c r="M1047" s="3" t="s">
        <v>2102</v>
      </c>
      <c r="N1047" s="3" t="s">
        <v>2102</v>
      </c>
      <c r="O1047" s="5"/>
      <c r="P1047" s="3" t="s">
        <v>22</v>
      </c>
      <c r="Q1047" s="7"/>
      <c r="R1047" s="7"/>
    </row>
    <row r="1048" spans="1:18" ht="76.5" x14ac:dyDescent="0.25">
      <c r="A1048" s="3" t="s">
        <v>18</v>
      </c>
      <c r="B1048" s="3">
        <v>2013</v>
      </c>
      <c r="C1048" s="3" t="s">
        <v>2058</v>
      </c>
      <c r="D1048" s="3" t="str">
        <f>"214 / 2013"</f>
        <v>214 / 2013</v>
      </c>
      <c r="E1048" s="4">
        <v>41387</v>
      </c>
      <c r="F1048" s="3" t="s">
        <v>2327</v>
      </c>
      <c r="G1048" s="5"/>
      <c r="H1048" s="3" t="s">
        <v>2328</v>
      </c>
      <c r="I1048" s="3">
        <v>13</v>
      </c>
      <c r="J1048" s="4">
        <v>41382</v>
      </c>
      <c r="K1048" s="6">
        <v>0.5</v>
      </c>
      <c r="L1048" s="3">
        <v>24</v>
      </c>
      <c r="M1048" s="3" t="s">
        <v>2102</v>
      </c>
      <c r="N1048" s="3" t="s">
        <v>2102</v>
      </c>
      <c r="O1048" s="5"/>
      <c r="P1048" s="3" t="s">
        <v>22</v>
      </c>
      <c r="Q1048" s="7"/>
      <c r="R1048" s="7"/>
    </row>
    <row r="1049" spans="1:18" ht="76.5" x14ac:dyDescent="0.25">
      <c r="A1049" s="3" t="s">
        <v>18</v>
      </c>
      <c r="B1049" s="3">
        <v>2013</v>
      </c>
      <c r="C1049" s="3" t="s">
        <v>2058</v>
      </c>
      <c r="D1049" s="3" t="str">
        <f>"215 / 2013"</f>
        <v>215 / 2013</v>
      </c>
      <c r="E1049" s="4">
        <v>41386</v>
      </c>
      <c r="F1049" s="3" t="s">
        <v>2329</v>
      </c>
      <c r="G1049" s="5"/>
      <c r="H1049" s="3" t="s">
        <v>2330</v>
      </c>
      <c r="I1049" s="3">
        <v>13</v>
      </c>
      <c r="J1049" s="4">
        <v>41382</v>
      </c>
      <c r="K1049" s="6">
        <v>0.5</v>
      </c>
      <c r="L1049" s="3">
        <v>25</v>
      </c>
      <c r="M1049" s="3" t="s">
        <v>2061</v>
      </c>
      <c r="N1049" s="3" t="s">
        <v>2061</v>
      </c>
      <c r="O1049" s="5"/>
      <c r="P1049" s="3" t="s">
        <v>22</v>
      </c>
      <c r="Q1049" s="7"/>
      <c r="R1049" s="7"/>
    </row>
    <row r="1050" spans="1:18" ht="76.5" x14ac:dyDescent="0.25">
      <c r="A1050" s="3" t="s">
        <v>18</v>
      </c>
      <c r="B1050" s="3">
        <v>2013</v>
      </c>
      <c r="C1050" s="3" t="s">
        <v>2058</v>
      </c>
      <c r="D1050" s="3" t="str">
        <f>"216 / 2013"</f>
        <v>216 / 2013</v>
      </c>
      <c r="E1050" s="4">
        <v>41383</v>
      </c>
      <c r="F1050" s="3" t="s">
        <v>2331</v>
      </c>
      <c r="G1050" s="5"/>
      <c r="H1050" s="3" t="s">
        <v>2332</v>
      </c>
      <c r="I1050" s="3">
        <v>13</v>
      </c>
      <c r="J1050" s="4">
        <v>41382</v>
      </c>
      <c r="K1050" s="6">
        <v>0.5</v>
      </c>
      <c r="L1050" s="5"/>
      <c r="M1050" s="3" t="s">
        <v>2102</v>
      </c>
      <c r="N1050" s="3" t="s">
        <v>2102</v>
      </c>
      <c r="O1050" s="5"/>
      <c r="P1050" s="3" t="s">
        <v>74</v>
      </c>
      <c r="Q1050" s="7"/>
      <c r="R1050" s="7"/>
    </row>
    <row r="1051" spans="1:18" ht="76.5" x14ac:dyDescent="0.25">
      <c r="A1051" s="3" t="s">
        <v>18</v>
      </c>
      <c r="B1051" s="3">
        <v>2013</v>
      </c>
      <c r="C1051" s="3" t="s">
        <v>2058</v>
      </c>
      <c r="D1051" s="3" t="str">
        <f>"217 / 2013"</f>
        <v>217 / 2013</v>
      </c>
      <c r="E1051" s="4">
        <v>41382</v>
      </c>
      <c r="F1051" s="3" t="s">
        <v>2333</v>
      </c>
      <c r="G1051" s="5"/>
      <c r="H1051" s="3" t="s">
        <v>2334</v>
      </c>
      <c r="I1051" s="3">
        <v>13</v>
      </c>
      <c r="J1051" s="4">
        <v>41382</v>
      </c>
      <c r="K1051" s="6">
        <v>0.5</v>
      </c>
      <c r="L1051" s="5"/>
      <c r="M1051" s="3" t="s">
        <v>2335</v>
      </c>
      <c r="N1051" s="3" t="s">
        <v>2335</v>
      </c>
      <c r="O1051" s="5"/>
      <c r="P1051" s="3" t="s">
        <v>74</v>
      </c>
      <c r="Q1051" s="7"/>
      <c r="R1051" s="7"/>
    </row>
    <row r="1052" spans="1:18" ht="165.75" x14ac:dyDescent="0.25">
      <c r="A1052" s="3" t="s">
        <v>18</v>
      </c>
      <c r="B1052" s="3">
        <v>2013</v>
      </c>
      <c r="C1052" s="3" t="s">
        <v>2058</v>
      </c>
      <c r="D1052" s="3" t="str">
        <f>"218 / 2013"</f>
        <v>218 / 2013</v>
      </c>
      <c r="E1052" s="4">
        <v>41383</v>
      </c>
      <c r="F1052" s="3" t="s">
        <v>2336</v>
      </c>
      <c r="G1052" s="5"/>
      <c r="H1052" s="3" t="s">
        <v>2337</v>
      </c>
      <c r="I1052" s="3">
        <v>13</v>
      </c>
      <c r="J1052" s="4">
        <v>41382</v>
      </c>
      <c r="K1052" s="6">
        <v>0.5</v>
      </c>
      <c r="L1052" s="5"/>
      <c r="M1052" s="3" t="s">
        <v>2105</v>
      </c>
      <c r="N1052" s="3" t="s">
        <v>2105</v>
      </c>
      <c r="O1052" s="5"/>
      <c r="P1052" s="3" t="s">
        <v>74</v>
      </c>
      <c r="Q1052" s="7"/>
      <c r="R1052" s="7"/>
    </row>
    <row r="1053" spans="1:18" ht="63.75" x14ac:dyDescent="0.25">
      <c r="A1053" s="3" t="s">
        <v>18</v>
      </c>
      <c r="B1053" s="3">
        <v>2013</v>
      </c>
      <c r="C1053" s="3" t="s">
        <v>2058</v>
      </c>
      <c r="D1053" s="3" t="str">
        <f>"219 / 2013"</f>
        <v>219 / 2013</v>
      </c>
      <c r="E1053" s="4">
        <v>41386</v>
      </c>
      <c r="F1053" s="3" t="s">
        <v>2338</v>
      </c>
      <c r="G1053" s="5"/>
      <c r="H1053" s="3" t="s">
        <v>2339</v>
      </c>
      <c r="I1053" s="3">
        <v>13</v>
      </c>
      <c r="J1053" s="4">
        <v>41382</v>
      </c>
      <c r="K1053" s="6">
        <v>0.5</v>
      </c>
      <c r="L1053" s="5"/>
      <c r="M1053" s="3" t="s">
        <v>2074</v>
      </c>
      <c r="N1053" s="3" t="s">
        <v>2074</v>
      </c>
      <c r="O1053" s="5"/>
      <c r="P1053" s="3" t="s">
        <v>74</v>
      </c>
      <c r="Q1053" s="7"/>
      <c r="R1053" s="7"/>
    </row>
    <row r="1054" spans="1:18" ht="127.5" x14ac:dyDescent="0.25">
      <c r="A1054" s="3" t="s">
        <v>18</v>
      </c>
      <c r="B1054" s="3">
        <v>2013</v>
      </c>
      <c r="C1054" s="3" t="s">
        <v>2058</v>
      </c>
      <c r="D1054" s="3" t="str">
        <f>"22 / 2013"</f>
        <v>22 / 2013</v>
      </c>
      <c r="E1054" s="4">
        <v>41298</v>
      </c>
      <c r="F1054" s="3" t="s">
        <v>2340</v>
      </c>
      <c r="G1054" s="5"/>
      <c r="H1054" s="3" t="s">
        <v>2341</v>
      </c>
      <c r="I1054" s="3">
        <v>1</v>
      </c>
      <c r="J1054" s="4">
        <v>41295</v>
      </c>
      <c r="K1054" s="6">
        <v>0.5</v>
      </c>
      <c r="L1054" s="3">
        <v>22</v>
      </c>
      <c r="M1054" s="3" t="s">
        <v>2088</v>
      </c>
      <c r="N1054" s="3" t="s">
        <v>2088</v>
      </c>
      <c r="O1054" s="5"/>
      <c r="P1054" s="3" t="s">
        <v>22</v>
      </c>
      <c r="Q1054" s="7"/>
      <c r="R1054" s="7"/>
    </row>
    <row r="1055" spans="1:18" ht="102" x14ac:dyDescent="0.25">
      <c r="A1055" s="3" t="s">
        <v>18</v>
      </c>
      <c r="B1055" s="3">
        <v>2013</v>
      </c>
      <c r="C1055" s="3" t="s">
        <v>2058</v>
      </c>
      <c r="D1055" s="3" t="str">
        <f>"220 / 2013"</f>
        <v>220 / 2013</v>
      </c>
      <c r="E1055" s="4">
        <v>41387</v>
      </c>
      <c r="F1055" s="3" t="s">
        <v>2342</v>
      </c>
      <c r="G1055" s="5"/>
      <c r="H1055" s="3" t="s">
        <v>2343</v>
      </c>
      <c r="I1055" s="3">
        <v>13</v>
      </c>
      <c r="J1055" s="4">
        <v>41382</v>
      </c>
      <c r="K1055" s="6">
        <v>0.5</v>
      </c>
      <c r="L1055" s="5"/>
      <c r="M1055" s="3" t="s">
        <v>2102</v>
      </c>
      <c r="N1055" s="3" t="s">
        <v>2102</v>
      </c>
      <c r="O1055" s="5"/>
      <c r="P1055" s="3" t="s">
        <v>74</v>
      </c>
      <c r="Q1055" s="7"/>
      <c r="R1055" s="7"/>
    </row>
    <row r="1056" spans="1:18" ht="127.5" x14ac:dyDescent="0.25">
      <c r="A1056" s="3" t="s">
        <v>18</v>
      </c>
      <c r="B1056" s="3">
        <v>2013</v>
      </c>
      <c r="C1056" s="3" t="s">
        <v>2058</v>
      </c>
      <c r="D1056" s="3" t="str">
        <f>"221 / 2013"</f>
        <v>221 / 2013</v>
      </c>
      <c r="E1056" s="4">
        <v>41387</v>
      </c>
      <c r="F1056" s="3" t="s">
        <v>2344</v>
      </c>
      <c r="G1056" s="5"/>
      <c r="H1056" s="3" t="s">
        <v>2345</v>
      </c>
      <c r="I1056" s="3">
        <v>13</v>
      </c>
      <c r="J1056" s="4">
        <v>41382</v>
      </c>
      <c r="K1056" s="6">
        <v>0.5</v>
      </c>
      <c r="L1056" s="5"/>
      <c r="M1056" s="3" t="s">
        <v>2346</v>
      </c>
      <c r="N1056" s="3" t="s">
        <v>2346</v>
      </c>
      <c r="O1056" s="5"/>
      <c r="P1056" s="3" t="s">
        <v>74</v>
      </c>
      <c r="Q1056" s="7"/>
      <c r="R1056" s="7"/>
    </row>
    <row r="1057" spans="1:18" ht="63.75" x14ac:dyDescent="0.25">
      <c r="A1057" s="3" t="s">
        <v>18</v>
      </c>
      <c r="B1057" s="3">
        <v>2013</v>
      </c>
      <c r="C1057" s="3" t="s">
        <v>2058</v>
      </c>
      <c r="D1057" s="3" t="str">
        <f>"222 / 2013"</f>
        <v>222 / 2013</v>
      </c>
      <c r="E1057" s="4">
        <v>41386</v>
      </c>
      <c r="F1057" s="3" t="s">
        <v>2347</v>
      </c>
      <c r="G1057" s="5"/>
      <c r="H1057" s="3" t="s">
        <v>2348</v>
      </c>
      <c r="I1057" s="3">
        <v>13</v>
      </c>
      <c r="J1057" s="4">
        <v>41382</v>
      </c>
      <c r="K1057" s="6">
        <v>0.5</v>
      </c>
      <c r="L1057" s="5"/>
      <c r="M1057" s="3" t="s">
        <v>2061</v>
      </c>
      <c r="N1057" s="3" t="s">
        <v>2061</v>
      </c>
      <c r="O1057" s="5"/>
      <c r="P1057" s="3" t="s">
        <v>74</v>
      </c>
      <c r="Q1057" s="7"/>
      <c r="R1057" s="7"/>
    </row>
    <row r="1058" spans="1:18" ht="127.5" x14ac:dyDescent="0.25">
      <c r="A1058" s="3" t="s">
        <v>18</v>
      </c>
      <c r="B1058" s="3">
        <v>2013</v>
      </c>
      <c r="C1058" s="3" t="s">
        <v>2058</v>
      </c>
      <c r="D1058" s="3" t="str">
        <f>"223 / 2013"</f>
        <v>223 / 2013</v>
      </c>
      <c r="E1058" s="4">
        <v>41386</v>
      </c>
      <c r="F1058" s="3" t="s">
        <v>2349</v>
      </c>
      <c r="G1058" s="5"/>
      <c r="H1058" s="3" t="s">
        <v>2350</v>
      </c>
      <c r="I1058" s="3">
        <v>13</v>
      </c>
      <c r="J1058" s="4">
        <v>41382</v>
      </c>
      <c r="K1058" s="6">
        <v>0.5</v>
      </c>
      <c r="L1058" s="5"/>
      <c r="M1058" s="3" t="s">
        <v>2351</v>
      </c>
      <c r="N1058" s="3" t="s">
        <v>2351</v>
      </c>
      <c r="O1058" s="5"/>
      <c r="P1058" s="3" t="s">
        <v>74</v>
      </c>
      <c r="Q1058" s="7"/>
      <c r="R1058" s="7"/>
    </row>
    <row r="1059" spans="1:18" ht="102" x14ac:dyDescent="0.25">
      <c r="A1059" s="3" t="s">
        <v>18</v>
      </c>
      <c r="B1059" s="3">
        <v>2013</v>
      </c>
      <c r="C1059" s="3" t="s">
        <v>2058</v>
      </c>
      <c r="D1059" s="3" t="str">
        <f>"224 / 2013"</f>
        <v>224 / 2013</v>
      </c>
      <c r="E1059" s="4">
        <v>41401</v>
      </c>
      <c r="F1059" s="3" t="s">
        <v>2352</v>
      </c>
      <c r="G1059" s="5"/>
      <c r="H1059" s="3" t="s">
        <v>2353</v>
      </c>
      <c r="I1059" s="3">
        <v>14</v>
      </c>
      <c r="J1059" s="4">
        <v>41394</v>
      </c>
      <c r="K1059" s="6">
        <v>0.47916666666666669</v>
      </c>
      <c r="L1059" s="3">
        <v>1</v>
      </c>
      <c r="M1059" s="3" t="s">
        <v>2354</v>
      </c>
      <c r="N1059" s="3" t="s">
        <v>2354</v>
      </c>
      <c r="O1059" s="5"/>
      <c r="P1059" s="3" t="s">
        <v>22</v>
      </c>
      <c r="Q1059" s="7"/>
      <c r="R1059" s="7"/>
    </row>
    <row r="1060" spans="1:18" ht="76.5" x14ac:dyDescent="0.25">
      <c r="A1060" s="3" t="s">
        <v>18</v>
      </c>
      <c r="B1060" s="3">
        <v>2013</v>
      </c>
      <c r="C1060" s="3" t="s">
        <v>2058</v>
      </c>
      <c r="D1060" s="3" t="str">
        <f>"225 / 2013"</f>
        <v>225 / 2013</v>
      </c>
      <c r="E1060" s="4">
        <v>41408</v>
      </c>
      <c r="F1060" s="3" t="s">
        <v>2355</v>
      </c>
      <c r="G1060" s="5"/>
      <c r="H1060" s="3" t="s">
        <v>2356</v>
      </c>
      <c r="I1060" s="3">
        <v>14</v>
      </c>
      <c r="J1060" s="4">
        <v>41394</v>
      </c>
      <c r="K1060" s="6">
        <v>0.47916666666666669</v>
      </c>
      <c r="L1060" s="3">
        <v>2</v>
      </c>
      <c r="M1060" s="3" t="s">
        <v>2102</v>
      </c>
      <c r="N1060" s="3" t="s">
        <v>2102</v>
      </c>
      <c r="O1060" s="5"/>
      <c r="P1060" s="3" t="s">
        <v>22</v>
      </c>
      <c r="Q1060" s="7"/>
      <c r="R1060" s="7"/>
    </row>
    <row r="1061" spans="1:18" ht="102" x14ac:dyDescent="0.25">
      <c r="A1061" s="3" t="s">
        <v>18</v>
      </c>
      <c r="B1061" s="3">
        <v>2013</v>
      </c>
      <c r="C1061" s="3" t="s">
        <v>2058</v>
      </c>
      <c r="D1061" s="3" t="str">
        <f>"226 / 2013"</f>
        <v>226 / 2013</v>
      </c>
      <c r="E1061" s="4">
        <v>41401</v>
      </c>
      <c r="F1061" s="3" t="s">
        <v>2357</v>
      </c>
      <c r="G1061" s="5"/>
      <c r="H1061" s="3" t="s">
        <v>2358</v>
      </c>
      <c r="I1061" s="3">
        <v>14</v>
      </c>
      <c r="J1061" s="4">
        <v>41394</v>
      </c>
      <c r="K1061" s="6">
        <v>0.47916666666666669</v>
      </c>
      <c r="L1061" s="3">
        <v>3</v>
      </c>
      <c r="M1061" s="3" t="s">
        <v>2105</v>
      </c>
      <c r="N1061" s="3" t="s">
        <v>2105</v>
      </c>
      <c r="O1061" s="5"/>
      <c r="P1061" s="3" t="s">
        <v>22</v>
      </c>
      <c r="Q1061" s="7"/>
      <c r="R1061" s="7"/>
    </row>
    <row r="1062" spans="1:18" ht="51" x14ac:dyDescent="0.25">
      <c r="A1062" s="3" t="s">
        <v>18</v>
      </c>
      <c r="B1062" s="3">
        <v>2013</v>
      </c>
      <c r="C1062" s="3" t="s">
        <v>2058</v>
      </c>
      <c r="D1062" s="3" t="str">
        <f>"227 / 2013"</f>
        <v>227 / 2013</v>
      </c>
      <c r="E1062" s="4">
        <v>41408</v>
      </c>
      <c r="F1062" s="3" t="s">
        <v>2359</v>
      </c>
      <c r="G1062" s="5"/>
      <c r="H1062" s="3" t="s">
        <v>2360</v>
      </c>
      <c r="I1062" s="3">
        <v>14</v>
      </c>
      <c r="J1062" s="4">
        <v>41394</v>
      </c>
      <c r="K1062" s="6">
        <v>0.47916666666666669</v>
      </c>
      <c r="L1062" s="3">
        <v>4</v>
      </c>
      <c r="M1062" s="3" t="s">
        <v>2185</v>
      </c>
      <c r="N1062" s="3" t="s">
        <v>2185</v>
      </c>
      <c r="O1062" s="5"/>
      <c r="P1062" s="3" t="s">
        <v>22</v>
      </c>
      <c r="Q1062" s="7"/>
      <c r="R1062" s="7"/>
    </row>
    <row r="1063" spans="1:18" ht="76.5" x14ac:dyDescent="0.25">
      <c r="A1063" s="3" t="s">
        <v>18</v>
      </c>
      <c r="B1063" s="3">
        <v>2013</v>
      </c>
      <c r="C1063" s="3" t="s">
        <v>2058</v>
      </c>
      <c r="D1063" s="3" t="str">
        <f>"228 / 2013"</f>
        <v>228 / 2013</v>
      </c>
      <c r="E1063" s="4">
        <v>41408</v>
      </c>
      <c r="F1063" s="3" t="s">
        <v>2361</v>
      </c>
      <c r="G1063" s="5"/>
      <c r="H1063" s="3" t="s">
        <v>2362</v>
      </c>
      <c r="I1063" s="3">
        <v>14</v>
      </c>
      <c r="J1063" s="4">
        <v>41394</v>
      </c>
      <c r="K1063" s="6">
        <v>0.47916666666666669</v>
      </c>
      <c r="L1063" s="3">
        <v>5</v>
      </c>
      <c r="M1063" s="3" t="s">
        <v>2280</v>
      </c>
      <c r="N1063" s="3" t="s">
        <v>2280</v>
      </c>
      <c r="O1063" s="5"/>
      <c r="P1063" s="3" t="s">
        <v>22</v>
      </c>
      <c r="Q1063" s="7"/>
      <c r="R1063" s="7"/>
    </row>
    <row r="1064" spans="1:18" ht="51" x14ac:dyDescent="0.25">
      <c r="A1064" s="3" t="s">
        <v>18</v>
      </c>
      <c r="B1064" s="3">
        <v>2013</v>
      </c>
      <c r="C1064" s="3" t="s">
        <v>2058</v>
      </c>
      <c r="D1064" s="3" t="str">
        <f>"229 / 2013"</f>
        <v>229 / 2013</v>
      </c>
      <c r="E1064" s="4">
        <v>41410</v>
      </c>
      <c r="F1064" s="3" t="s">
        <v>2363</v>
      </c>
      <c r="G1064" s="5"/>
      <c r="H1064" s="3" t="s">
        <v>2364</v>
      </c>
      <c r="I1064" s="3">
        <v>14</v>
      </c>
      <c r="J1064" s="4">
        <v>41394</v>
      </c>
      <c r="K1064" s="6">
        <v>0.47916666666666669</v>
      </c>
      <c r="L1064" s="3">
        <v>6</v>
      </c>
      <c r="M1064" s="3" t="s">
        <v>2280</v>
      </c>
      <c r="N1064" s="3" t="s">
        <v>2280</v>
      </c>
      <c r="O1064" s="5"/>
      <c r="P1064" s="3" t="s">
        <v>22</v>
      </c>
      <c r="Q1064" s="7"/>
      <c r="R1064" s="7"/>
    </row>
    <row r="1065" spans="1:18" ht="51" x14ac:dyDescent="0.25">
      <c r="A1065" s="3" t="s">
        <v>18</v>
      </c>
      <c r="B1065" s="3">
        <v>2013</v>
      </c>
      <c r="C1065" s="3" t="s">
        <v>2058</v>
      </c>
      <c r="D1065" s="3" t="str">
        <f>"23 / 2013"</f>
        <v>23 / 2013</v>
      </c>
      <c r="E1065" s="4">
        <v>41296</v>
      </c>
      <c r="F1065" s="3" t="s">
        <v>2365</v>
      </c>
      <c r="G1065" s="5"/>
      <c r="H1065" s="3" t="s">
        <v>2366</v>
      </c>
      <c r="I1065" s="3">
        <v>1</v>
      </c>
      <c r="J1065" s="4">
        <v>41295</v>
      </c>
      <c r="K1065" s="6">
        <v>0.5</v>
      </c>
      <c r="L1065" s="5"/>
      <c r="M1065" s="3" t="s">
        <v>2061</v>
      </c>
      <c r="N1065" s="3" t="s">
        <v>2061</v>
      </c>
      <c r="O1065" s="5"/>
      <c r="P1065" s="3" t="s">
        <v>74</v>
      </c>
      <c r="Q1065" s="7"/>
      <c r="R1065" s="7"/>
    </row>
    <row r="1066" spans="1:18" ht="89.25" x14ac:dyDescent="0.25">
      <c r="A1066" s="3" t="s">
        <v>18</v>
      </c>
      <c r="B1066" s="3">
        <v>2013</v>
      </c>
      <c r="C1066" s="3" t="s">
        <v>2058</v>
      </c>
      <c r="D1066" s="3" t="str">
        <f>"230 / 2013"</f>
        <v>230 / 2013</v>
      </c>
      <c r="E1066" s="4">
        <v>41408</v>
      </c>
      <c r="F1066" s="3" t="s">
        <v>2367</v>
      </c>
      <c r="G1066" s="5"/>
      <c r="H1066" s="3" t="s">
        <v>2368</v>
      </c>
      <c r="I1066" s="3">
        <v>14</v>
      </c>
      <c r="J1066" s="4">
        <v>41394</v>
      </c>
      <c r="K1066" s="6">
        <v>0.47916666666666669</v>
      </c>
      <c r="L1066" s="3">
        <v>7</v>
      </c>
      <c r="M1066" s="3" t="s">
        <v>2102</v>
      </c>
      <c r="N1066" s="3" t="s">
        <v>2102</v>
      </c>
      <c r="O1066" s="5"/>
      <c r="P1066" s="3" t="s">
        <v>22</v>
      </c>
      <c r="Q1066" s="7"/>
      <c r="R1066" s="7"/>
    </row>
    <row r="1067" spans="1:18" ht="76.5" x14ac:dyDescent="0.25">
      <c r="A1067" s="3" t="s">
        <v>18</v>
      </c>
      <c r="B1067" s="3">
        <v>2013</v>
      </c>
      <c r="C1067" s="3" t="s">
        <v>2058</v>
      </c>
      <c r="D1067" s="3" t="str">
        <f>"231 / 2013"</f>
        <v>231 / 2013</v>
      </c>
      <c r="E1067" s="4">
        <v>41408</v>
      </c>
      <c r="F1067" s="3" t="s">
        <v>2369</v>
      </c>
      <c r="G1067" s="5"/>
      <c r="H1067" s="3" t="s">
        <v>2370</v>
      </c>
      <c r="I1067" s="3">
        <v>14</v>
      </c>
      <c r="J1067" s="4">
        <v>41394</v>
      </c>
      <c r="K1067" s="6">
        <v>0.47916666666666669</v>
      </c>
      <c r="L1067" s="3">
        <v>8</v>
      </c>
      <c r="M1067" s="3" t="s">
        <v>2280</v>
      </c>
      <c r="N1067" s="3" t="s">
        <v>2280</v>
      </c>
      <c r="O1067" s="5"/>
      <c r="P1067" s="3" t="s">
        <v>22</v>
      </c>
      <c r="Q1067" s="7"/>
      <c r="R1067" s="7"/>
    </row>
    <row r="1068" spans="1:18" ht="102" x14ac:dyDescent="0.25">
      <c r="A1068" s="3" t="s">
        <v>18</v>
      </c>
      <c r="B1068" s="3">
        <v>2013</v>
      </c>
      <c r="C1068" s="3" t="s">
        <v>2058</v>
      </c>
      <c r="D1068" s="3" t="str">
        <f>"232 / 2013"</f>
        <v>232 / 2013</v>
      </c>
      <c r="E1068" s="4">
        <v>41407</v>
      </c>
      <c r="F1068" s="3" t="s">
        <v>2371</v>
      </c>
      <c r="G1068" s="5"/>
      <c r="H1068" s="3" t="s">
        <v>2372</v>
      </c>
      <c r="I1068" s="3">
        <v>14</v>
      </c>
      <c r="J1068" s="4">
        <v>41394</v>
      </c>
      <c r="K1068" s="6">
        <v>0.47916666666666669</v>
      </c>
      <c r="L1068" s="3">
        <v>9</v>
      </c>
      <c r="M1068" s="3" t="s">
        <v>2061</v>
      </c>
      <c r="N1068" s="3" t="s">
        <v>2061</v>
      </c>
      <c r="O1068" s="5"/>
      <c r="P1068" s="3" t="s">
        <v>22</v>
      </c>
      <c r="Q1068" s="7"/>
      <c r="R1068" s="7"/>
    </row>
    <row r="1069" spans="1:18" ht="63.75" x14ac:dyDescent="0.25">
      <c r="A1069" s="3" t="s">
        <v>18</v>
      </c>
      <c r="B1069" s="3">
        <v>2013</v>
      </c>
      <c r="C1069" s="3" t="s">
        <v>2058</v>
      </c>
      <c r="D1069" s="3" t="str">
        <f>"233 / 2013"</f>
        <v>233 / 2013</v>
      </c>
      <c r="E1069" s="4">
        <v>41410</v>
      </c>
      <c r="F1069" s="3" t="s">
        <v>2373</v>
      </c>
      <c r="G1069" s="5"/>
      <c r="H1069" s="3" t="s">
        <v>2374</v>
      </c>
      <c r="I1069" s="3">
        <v>14</v>
      </c>
      <c r="J1069" s="4">
        <v>41394</v>
      </c>
      <c r="K1069" s="6">
        <v>0.47916666666666669</v>
      </c>
      <c r="L1069" s="3">
        <v>10</v>
      </c>
      <c r="M1069" s="3" t="s">
        <v>2061</v>
      </c>
      <c r="N1069" s="3" t="s">
        <v>2061</v>
      </c>
      <c r="O1069" s="5"/>
      <c r="P1069" s="3" t="s">
        <v>22</v>
      </c>
      <c r="Q1069" s="7"/>
      <c r="R1069" s="7"/>
    </row>
    <row r="1070" spans="1:18" ht="38.25" x14ac:dyDescent="0.25">
      <c r="A1070" s="3" t="s">
        <v>18</v>
      </c>
      <c r="B1070" s="3">
        <v>2013</v>
      </c>
      <c r="C1070" s="3" t="s">
        <v>2058</v>
      </c>
      <c r="D1070" s="3" t="str">
        <f>"234 / 2013"</f>
        <v>234 / 2013</v>
      </c>
      <c r="E1070" s="4">
        <v>41401</v>
      </c>
      <c r="F1070" s="3" t="s">
        <v>2375</v>
      </c>
      <c r="G1070" s="5"/>
      <c r="H1070" s="3" t="s">
        <v>2376</v>
      </c>
      <c r="I1070" s="3">
        <v>11</v>
      </c>
      <c r="J1070" s="4">
        <v>41394</v>
      </c>
      <c r="K1070" s="6">
        <v>0.47916666666666669</v>
      </c>
      <c r="L1070" s="3">
        <v>11</v>
      </c>
      <c r="M1070" s="3" t="s">
        <v>2256</v>
      </c>
      <c r="N1070" s="3" t="s">
        <v>2256</v>
      </c>
      <c r="O1070" s="5"/>
      <c r="P1070" s="3" t="s">
        <v>22</v>
      </c>
      <c r="Q1070" s="7"/>
      <c r="R1070" s="7"/>
    </row>
    <row r="1071" spans="1:18" ht="114.75" x14ac:dyDescent="0.25">
      <c r="A1071" s="3" t="s">
        <v>18</v>
      </c>
      <c r="B1071" s="3">
        <v>2013</v>
      </c>
      <c r="C1071" s="3" t="s">
        <v>2058</v>
      </c>
      <c r="D1071" s="3" t="str">
        <f>"235 / 2013"</f>
        <v>235 / 2013</v>
      </c>
      <c r="E1071" s="4">
        <v>41394</v>
      </c>
      <c r="F1071" s="3" t="s">
        <v>2377</v>
      </c>
      <c r="G1071" s="5"/>
      <c r="H1071" s="3" t="s">
        <v>2378</v>
      </c>
      <c r="I1071" s="3">
        <v>14</v>
      </c>
      <c r="J1071" s="4">
        <v>41394</v>
      </c>
      <c r="K1071" s="6">
        <v>0.47916666666666669</v>
      </c>
      <c r="L1071" s="3">
        <v>12</v>
      </c>
      <c r="M1071" s="3" t="s">
        <v>2159</v>
      </c>
      <c r="N1071" s="3" t="s">
        <v>2159</v>
      </c>
      <c r="O1071" s="5"/>
      <c r="P1071" s="3" t="s">
        <v>22</v>
      </c>
      <c r="Q1071" s="7"/>
      <c r="R1071" s="7"/>
    </row>
    <row r="1072" spans="1:18" ht="51" x14ac:dyDescent="0.25">
      <c r="A1072" s="3" t="s">
        <v>18</v>
      </c>
      <c r="B1072" s="3">
        <v>2013</v>
      </c>
      <c r="C1072" s="3" t="s">
        <v>2058</v>
      </c>
      <c r="D1072" s="3" t="str">
        <f>"236 / 2013"</f>
        <v>236 / 2013</v>
      </c>
      <c r="E1072" s="4">
        <v>41408</v>
      </c>
      <c r="F1072" s="3" t="s">
        <v>2379</v>
      </c>
      <c r="G1072" s="5"/>
      <c r="H1072" s="3" t="s">
        <v>2380</v>
      </c>
      <c r="I1072" s="3">
        <v>14</v>
      </c>
      <c r="J1072" s="4">
        <v>41394</v>
      </c>
      <c r="K1072" s="6">
        <v>0.47916666666666669</v>
      </c>
      <c r="L1072" s="3">
        <v>13</v>
      </c>
      <c r="M1072" s="3" t="s">
        <v>2099</v>
      </c>
      <c r="N1072" s="3" t="s">
        <v>2099</v>
      </c>
      <c r="O1072" s="5"/>
      <c r="P1072" s="3" t="s">
        <v>22</v>
      </c>
      <c r="Q1072" s="7"/>
      <c r="R1072" s="7"/>
    </row>
    <row r="1073" spans="1:18" ht="76.5" x14ac:dyDescent="0.25">
      <c r="A1073" s="3" t="s">
        <v>18</v>
      </c>
      <c r="B1073" s="3">
        <v>2013</v>
      </c>
      <c r="C1073" s="3" t="s">
        <v>2058</v>
      </c>
      <c r="D1073" s="3" t="str">
        <f>"237 / 2013"</f>
        <v>237 / 2013</v>
      </c>
      <c r="E1073" s="4">
        <v>41411</v>
      </c>
      <c r="F1073" s="3" t="s">
        <v>2381</v>
      </c>
      <c r="G1073" s="5"/>
      <c r="H1073" s="3" t="s">
        <v>2382</v>
      </c>
      <c r="I1073" s="3">
        <v>14</v>
      </c>
      <c r="J1073" s="4">
        <v>41394</v>
      </c>
      <c r="K1073" s="6">
        <v>0.47916666666666669</v>
      </c>
      <c r="L1073" s="3">
        <v>14</v>
      </c>
      <c r="M1073" s="3" t="s">
        <v>2061</v>
      </c>
      <c r="N1073" s="3" t="s">
        <v>2061</v>
      </c>
      <c r="O1073" s="5"/>
      <c r="P1073" s="3" t="s">
        <v>22</v>
      </c>
      <c r="Q1073" s="7"/>
      <c r="R1073" s="7"/>
    </row>
    <row r="1074" spans="1:18" ht="76.5" x14ac:dyDescent="0.25">
      <c r="A1074" s="3" t="s">
        <v>18</v>
      </c>
      <c r="B1074" s="3">
        <v>2013</v>
      </c>
      <c r="C1074" s="3" t="s">
        <v>2058</v>
      </c>
      <c r="D1074" s="3" t="str">
        <f>"238 / 2013"</f>
        <v>238 / 2013</v>
      </c>
      <c r="E1074" s="4">
        <v>41407</v>
      </c>
      <c r="F1074" s="3" t="s">
        <v>2383</v>
      </c>
      <c r="G1074" s="5"/>
      <c r="H1074" s="3" t="s">
        <v>2384</v>
      </c>
      <c r="I1074" s="3">
        <v>14</v>
      </c>
      <c r="J1074" s="4">
        <v>41394</v>
      </c>
      <c r="K1074" s="6">
        <v>0.47916666666666669</v>
      </c>
      <c r="L1074" s="3">
        <v>15</v>
      </c>
      <c r="M1074" s="3" t="s">
        <v>2099</v>
      </c>
      <c r="N1074" s="3" t="s">
        <v>2099</v>
      </c>
      <c r="O1074" s="5"/>
      <c r="P1074" s="3" t="s">
        <v>22</v>
      </c>
      <c r="Q1074" s="7"/>
      <c r="R1074" s="7"/>
    </row>
    <row r="1075" spans="1:18" ht="76.5" x14ac:dyDescent="0.25">
      <c r="A1075" s="3" t="s">
        <v>18</v>
      </c>
      <c r="B1075" s="3">
        <v>2013</v>
      </c>
      <c r="C1075" s="3" t="s">
        <v>2058</v>
      </c>
      <c r="D1075" s="3" t="str">
        <f>"239 / 2013"</f>
        <v>239 / 2013</v>
      </c>
      <c r="E1075" s="4">
        <v>41410</v>
      </c>
      <c r="F1075" s="3" t="s">
        <v>2385</v>
      </c>
      <c r="G1075" s="5"/>
      <c r="H1075" s="3" t="s">
        <v>2386</v>
      </c>
      <c r="I1075" s="3">
        <v>14</v>
      </c>
      <c r="J1075" s="4">
        <v>41394</v>
      </c>
      <c r="K1075" s="6">
        <v>0.47916666666666669</v>
      </c>
      <c r="L1075" s="3">
        <v>16</v>
      </c>
      <c r="M1075" s="3" t="s">
        <v>2102</v>
      </c>
      <c r="N1075" s="3" t="s">
        <v>2102</v>
      </c>
      <c r="O1075" s="5"/>
      <c r="P1075" s="3" t="s">
        <v>22</v>
      </c>
      <c r="Q1075" s="7"/>
      <c r="R1075" s="7"/>
    </row>
    <row r="1076" spans="1:18" ht="89.25" x14ac:dyDescent="0.25">
      <c r="A1076" s="3" t="s">
        <v>18</v>
      </c>
      <c r="B1076" s="3">
        <v>2013</v>
      </c>
      <c r="C1076" s="3" t="s">
        <v>2058</v>
      </c>
      <c r="D1076" s="3" t="str">
        <f>"24/ 2013"</f>
        <v>24/ 2013</v>
      </c>
      <c r="E1076" s="4">
        <v>41296</v>
      </c>
      <c r="F1076" s="3" t="s">
        <v>2387</v>
      </c>
      <c r="G1076" s="5"/>
      <c r="H1076" s="3" t="s">
        <v>2388</v>
      </c>
      <c r="I1076" s="3">
        <v>1</v>
      </c>
      <c r="J1076" s="4">
        <v>41295</v>
      </c>
      <c r="K1076" s="6">
        <v>0.5</v>
      </c>
      <c r="L1076" s="5"/>
      <c r="M1076" s="3" t="s">
        <v>2389</v>
      </c>
      <c r="N1076" s="3" t="s">
        <v>2389</v>
      </c>
      <c r="O1076" s="5"/>
      <c r="P1076" s="3" t="s">
        <v>74</v>
      </c>
      <c r="Q1076" s="7"/>
      <c r="R1076" s="7"/>
    </row>
    <row r="1077" spans="1:18" ht="76.5" x14ac:dyDescent="0.25">
      <c r="A1077" s="3" t="s">
        <v>18</v>
      </c>
      <c r="B1077" s="3">
        <v>2013</v>
      </c>
      <c r="C1077" s="3" t="s">
        <v>2058</v>
      </c>
      <c r="D1077" s="3" t="str">
        <f>"240 / 2013"</f>
        <v>240 / 2013</v>
      </c>
      <c r="E1077" s="4">
        <v>41408</v>
      </c>
      <c r="F1077" s="3" t="s">
        <v>2390</v>
      </c>
      <c r="G1077" s="5"/>
      <c r="H1077" s="3" t="s">
        <v>2391</v>
      </c>
      <c r="I1077" s="3">
        <v>14</v>
      </c>
      <c r="J1077" s="4">
        <v>41394</v>
      </c>
      <c r="K1077" s="6">
        <v>0.47916666666666669</v>
      </c>
      <c r="L1077" s="3">
        <v>17</v>
      </c>
      <c r="M1077" s="3" t="s">
        <v>2102</v>
      </c>
      <c r="N1077" s="3" t="s">
        <v>2102</v>
      </c>
      <c r="O1077" s="5"/>
      <c r="P1077" s="3" t="s">
        <v>22</v>
      </c>
      <c r="Q1077" s="7"/>
      <c r="R1077" s="7"/>
    </row>
    <row r="1078" spans="1:18" ht="76.5" x14ac:dyDescent="0.25">
      <c r="A1078" s="3" t="s">
        <v>18</v>
      </c>
      <c r="B1078" s="3">
        <v>2013</v>
      </c>
      <c r="C1078" s="3" t="s">
        <v>2058</v>
      </c>
      <c r="D1078" s="3" t="str">
        <f>"241 / 2013"</f>
        <v>241 / 2013</v>
      </c>
      <c r="E1078" s="4">
        <v>41396</v>
      </c>
      <c r="F1078" s="3" t="s">
        <v>2392</v>
      </c>
      <c r="G1078" s="5"/>
      <c r="H1078" s="3" t="s">
        <v>2393</v>
      </c>
      <c r="I1078" s="3">
        <v>14</v>
      </c>
      <c r="J1078" s="4">
        <v>41394</v>
      </c>
      <c r="K1078" s="6">
        <v>0.47916666666666669</v>
      </c>
      <c r="L1078" s="3">
        <v>18</v>
      </c>
      <c r="M1078" s="3" t="s">
        <v>2102</v>
      </c>
      <c r="N1078" s="3" t="s">
        <v>2102</v>
      </c>
      <c r="O1078" s="5"/>
      <c r="P1078" s="3" t="s">
        <v>22</v>
      </c>
      <c r="Q1078" s="7"/>
      <c r="R1078" s="7"/>
    </row>
    <row r="1079" spans="1:18" ht="127.5" x14ac:dyDescent="0.25">
      <c r="A1079" s="3" t="s">
        <v>18</v>
      </c>
      <c r="B1079" s="3">
        <v>2013</v>
      </c>
      <c r="C1079" s="3" t="s">
        <v>2058</v>
      </c>
      <c r="D1079" s="3" t="str">
        <f>"243 / 2013"</f>
        <v>243 / 2013</v>
      </c>
      <c r="E1079" s="4">
        <v>41401</v>
      </c>
      <c r="F1079" s="3" t="s">
        <v>2394</v>
      </c>
      <c r="G1079" s="5"/>
      <c r="H1079" s="3" t="s">
        <v>2395</v>
      </c>
      <c r="I1079" s="3">
        <v>14</v>
      </c>
      <c r="J1079" s="4">
        <v>41394</v>
      </c>
      <c r="K1079" s="6">
        <v>0.47916666666666669</v>
      </c>
      <c r="L1079" s="3">
        <v>20</v>
      </c>
      <c r="M1079" s="3" t="s">
        <v>2088</v>
      </c>
      <c r="N1079" s="3" t="s">
        <v>2088</v>
      </c>
      <c r="O1079" s="5"/>
      <c r="P1079" s="3" t="s">
        <v>22</v>
      </c>
      <c r="Q1079" s="7"/>
      <c r="R1079" s="7"/>
    </row>
    <row r="1080" spans="1:18" ht="127.5" x14ac:dyDescent="0.25">
      <c r="A1080" s="3" t="s">
        <v>18</v>
      </c>
      <c r="B1080" s="3">
        <v>2013</v>
      </c>
      <c r="C1080" s="3" t="s">
        <v>2058</v>
      </c>
      <c r="D1080" s="3" t="str">
        <f>"244 / 2013"</f>
        <v>244 / 2013</v>
      </c>
      <c r="E1080" s="4">
        <v>41407</v>
      </c>
      <c r="F1080" s="3" t="s">
        <v>2396</v>
      </c>
      <c r="G1080" s="5"/>
      <c r="H1080" s="3" t="s">
        <v>2397</v>
      </c>
      <c r="I1080" s="3">
        <v>14</v>
      </c>
      <c r="J1080" s="4">
        <v>41394</v>
      </c>
      <c r="K1080" s="6">
        <v>0.47916666666666669</v>
      </c>
      <c r="L1080" s="3">
        <v>21</v>
      </c>
      <c r="M1080" s="3" t="s">
        <v>2099</v>
      </c>
      <c r="N1080" s="3" t="s">
        <v>2099</v>
      </c>
      <c r="O1080" s="5"/>
      <c r="P1080" s="3" t="s">
        <v>22</v>
      </c>
      <c r="Q1080" s="7"/>
      <c r="R1080" s="7"/>
    </row>
    <row r="1081" spans="1:18" ht="89.25" x14ac:dyDescent="0.25">
      <c r="A1081" s="3" t="s">
        <v>18</v>
      </c>
      <c r="B1081" s="3">
        <v>2013</v>
      </c>
      <c r="C1081" s="3" t="s">
        <v>2058</v>
      </c>
      <c r="D1081" s="3" t="str">
        <f>"246 / 2013"</f>
        <v>246 / 2013</v>
      </c>
      <c r="E1081" s="4">
        <v>41398</v>
      </c>
      <c r="F1081" s="3" t="s">
        <v>2398</v>
      </c>
      <c r="G1081" s="5"/>
      <c r="H1081" s="3" t="s">
        <v>2399</v>
      </c>
      <c r="I1081" s="3">
        <v>14</v>
      </c>
      <c r="J1081" s="4">
        <v>41394</v>
      </c>
      <c r="K1081" s="6">
        <v>0.47916666666666669</v>
      </c>
      <c r="L1081" s="5"/>
      <c r="M1081" s="3" t="s">
        <v>2400</v>
      </c>
      <c r="N1081" s="3" t="s">
        <v>2400</v>
      </c>
      <c r="O1081" s="5"/>
      <c r="P1081" s="3" t="s">
        <v>74</v>
      </c>
      <c r="Q1081" s="7"/>
      <c r="R1081" s="7"/>
    </row>
    <row r="1082" spans="1:18" ht="102" x14ac:dyDescent="0.25">
      <c r="A1082" s="3" t="s">
        <v>18</v>
      </c>
      <c r="B1082" s="3">
        <v>2013</v>
      </c>
      <c r="C1082" s="3" t="s">
        <v>2058</v>
      </c>
      <c r="D1082" s="3" t="str">
        <f>"247 / 2013"</f>
        <v>247 / 2013</v>
      </c>
      <c r="E1082" s="4">
        <v>41396</v>
      </c>
      <c r="F1082" s="3" t="s">
        <v>2401</v>
      </c>
      <c r="G1082" s="5"/>
      <c r="H1082" s="3" t="s">
        <v>2402</v>
      </c>
      <c r="I1082" s="3">
        <v>14</v>
      </c>
      <c r="J1082" s="4">
        <v>41394</v>
      </c>
      <c r="K1082" s="6">
        <v>0.47916666666666669</v>
      </c>
      <c r="L1082" s="5"/>
      <c r="M1082" s="3" t="s">
        <v>2354</v>
      </c>
      <c r="N1082" s="3" t="s">
        <v>2354</v>
      </c>
      <c r="O1082" s="5"/>
      <c r="P1082" s="3" t="s">
        <v>74</v>
      </c>
      <c r="Q1082" s="7"/>
      <c r="R1082" s="7"/>
    </row>
    <row r="1083" spans="1:18" ht="89.25" x14ac:dyDescent="0.25">
      <c r="A1083" s="3" t="s">
        <v>18</v>
      </c>
      <c r="B1083" s="3">
        <v>2013</v>
      </c>
      <c r="C1083" s="3" t="s">
        <v>2058</v>
      </c>
      <c r="D1083" s="3" t="str">
        <f>"248 / 2013"</f>
        <v>248 / 2013</v>
      </c>
      <c r="E1083" s="4">
        <v>41394</v>
      </c>
      <c r="F1083" s="3" t="s">
        <v>2403</v>
      </c>
      <c r="G1083" s="5"/>
      <c r="H1083" s="3" t="s">
        <v>2404</v>
      </c>
      <c r="I1083" s="3">
        <v>14</v>
      </c>
      <c r="J1083" s="4">
        <v>41394</v>
      </c>
      <c r="K1083" s="6">
        <v>0.47916666666666669</v>
      </c>
      <c r="L1083" s="5"/>
      <c r="M1083" s="3" t="s">
        <v>2074</v>
      </c>
      <c r="N1083" s="3" t="s">
        <v>2074</v>
      </c>
      <c r="O1083" s="5"/>
      <c r="P1083" s="3" t="s">
        <v>74</v>
      </c>
      <c r="Q1083" s="7"/>
      <c r="R1083" s="7"/>
    </row>
    <row r="1084" spans="1:18" ht="76.5" x14ac:dyDescent="0.25">
      <c r="A1084" s="3" t="s">
        <v>18</v>
      </c>
      <c r="B1084" s="3">
        <v>2013</v>
      </c>
      <c r="C1084" s="3" t="s">
        <v>2058</v>
      </c>
      <c r="D1084" s="3" t="str">
        <f>"249 / 2013"</f>
        <v>249 / 2013</v>
      </c>
      <c r="E1084" s="4">
        <v>41401</v>
      </c>
      <c r="F1084" s="3" t="s">
        <v>2405</v>
      </c>
      <c r="G1084" s="5"/>
      <c r="H1084" s="3" t="s">
        <v>2406</v>
      </c>
      <c r="I1084" s="3">
        <v>14</v>
      </c>
      <c r="J1084" s="4">
        <v>41394</v>
      </c>
      <c r="K1084" s="6">
        <v>0.47916666666666669</v>
      </c>
      <c r="L1084" s="5"/>
      <c r="M1084" s="3" t="s">
        <v>2099</v>
      </c>
      <c r="N1084" s="3" t="s">
        <v>2099</v>
      </c>
      <c r="O1084" s="5"/>
      <c r="P1084" s="3" t="s">
        <v>74</v>
      </c>
      <c r="Q1084" s="7"/>
      <c r="R1084" s="7"/>
    </row>
    <row r="1085" spans="1:18" ht="127.5" x14ac:dyDescent="0.25">
      <c r="A1085" s="3" t="s">
        <v>18</v>
      </c>
      <c r="B1085" s="3">
        <v>2013</v>
      </c>
      <c r="C1085" s="3" t="s">
        <v>2058</v>
      </c>
      <c r="D1085" s="3" t="str">
        <f>"25 / 2013"</f>
        <v>25 / 2013</v>
      </c>
      <c r="E1085" s="4">
        <v>41312</v>
      </c>
      <c r="F1085" s="3" t="s">
        <v>2407</v>
      </c>
      <c r="G1085" s="5"/>
      <c r="H1085" s="3" t="s">
        <v>2408</v>
      </c>
      <c r="I1085" s="3">
        <v>2</v>
      </c>
      <c r="J1085" s="4">
        <v>41299</v>
      </c>
      <c r="K1085" s="6">
        <v>0.5</v>
      </c>
      <c r="L1085" s="3">
        <v>1</v>
      </c>
      <c r="M1085" s="3" t="s">
        <v>2088</v>
      </c>
      <c r="N1085" s="3" t="s">
        <v>2088</v>
      </c>
      <c r="O1085" s="5"/>
      <c r="P1085" s="3" t="s">
        <v>22</v>
      </c>
      <c r="Q1085" s="7"/>
      <c r="R1085" s="7"/>
    </row>
    <row r="1086" spans="1:18" ht="76.5" x14ac:dyDescent="0.25">
      <c r="A1086" s="3" t="s">
        <v>18</v>
      </c>
      <c r="B1086" s="3">
        <v>2013</v>
      </c>
      <c r="C1086" s="3" t="s">
        <v>2058</v>
      </c>
      <c r="D1086" s="3" t="str">
        <f>"250 / 2013"</f>
        <v>250 / 2013</v>
      </c>
      <c r="E1086" s="4">
        <v>41396</v>
      </c>
      <c r="F1086" s="3" t="s">
        <v>2409</v>
      </c>
      <c r="G1086" s="5"/>
      <c r="H1086" s="3" t="s">
        <v>2410</v>
      </c>
      <c r="I1086" s="3">
        <v>14</v>
      </c>
      <c r="J1086" s="4">
        <v>41394</v>
      </c>
      <c r="K1086" s="6">
        <v>0.47916666666666669</v>
      </c>
      <c r="L1086" s="5"/>
      <c r="M1086" s="3" t="s">
        <v>2102</v>
      </c>
      <c r="N1086" s="3" t="s">
        <v>2102</v>
      </c>
      <c r="O1086" s="5"/>
      <c r="P1086" s="3" t="s">
        <v>74</v>
      </c>
      <c r="Q1086" s="7"/>
      <c r="R1086" s="7"/>
    </row>
    <row r="1087" spans="1:18" ht="76.5" x14ac:dyDescent="0.25">
      <c r="A1087" s="3" t="s">
        <v>18</v>
      </c>
      <c r="B1087" s="3">
        <v>2013</v>
      </c>
      <c r="C1087" s="3" t="s">
        <v>2058</v>
      </c>
      <c r="D1087" s="3" t="str">
        <f>"251 / 2013"</f>
        <v>251 / 2013</v>
      </c>
      <c r="E1087" s="4">
        <v>41401</v>
      </c>
      <c r="F1087" s="3" t="s">
        <v>2411</v>
      </c>
      <c r="G1087" s="5"/>
      <c r="H1087" s="3" t="s">
        <v>2412</v>
      </c>
      <c r="I1087" s="3">
        <v>15</v>
      </c>
      <c r="J1087" s="4">
        <v>41401</v>
      </c>
      <c r="K1087" s="6">
        <v>0.47916666666666669</v>
      </c>
      <c r="L1087" s="3">
        <v>1</v>
      </c>
      <c r="M1087" s="3" t="s">
        <v>2061</v>
      </c>
      <c r="N1087" s="3" t="s">
        <v>2061</v>
      </c>
      <c r="O1087" s="5"/>
      <c r="P1087" s="3" t="s">
        <v>22</v>
      </c>
      <c r="Q1087" s="7"/>
      <c r="R1087" s="7"/>
    </row>
    <row r="1088" spans="1:18" ht="127.5" x14ac:dyDescent="0.25">
      <c r="A1088" s="3" t="s">
        <v>18</v>
      </c>
      <c r="B1088" s="3">
        <v>2013</v>
      </c>
      <c r="C1088" s="3" t="s">
        <v>2058</v>
      </c>
      <c r="D1088" s="3" t="str">
        <f>"252 / 2013"</f>
        <v>252 / 2013</v>
      </c>
      <c r="E1088" s="4">
        <v>41414</v>
      </c>
      <c r="F1088" s="3" t="s">
        <v>2413</v>
      </c>
      <c r="G1088" s="5"/>
      <c r="H1088" s="3" t="s">
        <v>2414</v>
      </c>
      <c r="I1088" s="3">
        <v>16</v>
      </c>
      <c r="J1088" s="4">
        <v>41414</v>
      </c>
      <c r="K1088" s="6">
        <v>0.47916666666666669</v>
      </c>
      <c r="L1088" s="3">
        <v>1</v>
      </c>
      <c r="M1088" s="3" t="s">
        <v>29</v>
      </c>
      <c r="N1088" s="3" t="s">
        <v>29</v>
      </c>
      <c r="O1088" s="5"/>
      <c r="P1088" s="3" t="s">
        <v>22</v>
      </c>
      <c r="Q1088" s="7"/>
      <c r="R1088" s="7"/>
    </row>
    <row r="1089" spans="1:18" ht="89.25" x14ac:dyDescent="0.25">
      <c r="A1089" s="3" t="s">
        <v>18</v>
      </c>
      <c r="B1089" s="3">
        <v>2013</v>
      </c>
      <c r="C1089" s="3" t="s">
        <v>2058</v>
      </c>
      <c r="D1089" s="3" t="str">
        <f>"253 / 2013"</f>
        <v>253 / 2013</v>
      </c>
      <c r="E1089" s="4">
        <v>41414</v>
      </c>
      <c r="F1089" s="3" t="s">
        <v>2415</v>
      </c>
      <c r="G1089" s="5"/>
      <c r="H1089" s="3" t="s">
        <v>2416</v>
      </c>
      <c r="I1089" s="3">
        <v>16</v>
      </c>
      <c r="J1089" s="4">
        <v>41414</v>
      </c>
      <c r="K1089" s="6">
        <v>0.47916666666666669</v>
      </c>
      <c r="L1089" s="3">
        <v>2</v>
      </c>
      <c r="M1089" s="3" t="s">
        <v>2117</v>
      </c>
      <c r="N1089" s="3" t="s">
        <v>2117</v>
      </c>
      <c r="O1089" s="5"/>
      <c r="P1089" s="3" t="s">
        <v>22</v>
      </c>
      <c r="Q1089" s="7"/>
      <c r="R1089" s="7"/>
    </row>
    <row r="1090" spans="1:18" ht="76.5" x14ac:dyDescent="0.25">
      <c r="A1090" s="3" t="s">
        <v>18</v>
      </c>
      <c r="B1090" s="3">
        <v>2013</v>
      </c>
      <c r="C1090" s="3" t="s">
        <v>2058</v>
      </c>
      <c r="D1090" s="3" t="str">
        <f>"254 / 2013"</f>
        <v>254 / 2013</v>
      </c>
      <c r="E1090" s="4">
        <v>41421</v>
      </c>
      <c r="F1090" s="3" t="s">
        <v>2417</v>
      </c>
      <c r="G1090" s="5"/>
      <c r="H1090" s="3" t="s">
        <v>2418</v>
      </c>
      <c r="I1090" s="3">
        <v>16</v>
      </c>
      <c r="J1090" s="4">
        <v>41414</v>
      </c>
      <c r="K1090" s="6">
        <v>0.47916666666666669</v>
      </c>
      <c r="L1090" s="3">
        <v>3</v>
      </c>
      <c r="M1090" s="3" t="s">
        <v>2419</v>
      </c>
      <c r="N1090" s="3" t="s">
        <v>2419</v>
      </c>
      <c r="O1090" s="5"/>
      <c r="P1090" s="3" t="s">
        <v>22</v>
      </c>
      <c r="Q1090" s="7"/>
      <c r="R1090" s="7"/>
    </row>
    <row r="1091" spans="1:18" ht="89.25" x14ac:dyDescent="0.25">
      <c r="A1091" s="3" t="s">
        <v>18</v>
      </c>
      <c r="B1091" s="3">
        <v>2013</v>
      </c>
      <c r="C1091" s="3" t="s">
        <v>2058</v>
      </c>
      <c r="D1091" s="3" t="str">
        <f>"255 / 2013"</f>
        <v>255 / 2013</v>
      </c>
      <c r="E1091" s="4">
        <v>41421</v>
      </c>
      <c r="F1091" s="3" t="s">
        <v>2420</v>
      </c>
      <c r="G1091" s="5"/>
      <c r="H1091" s="3" t="s">
        <v>2421</v>
      </c>
      <c r="I1091" s="3">
        <v>16</v>
      </c>
      <c r="J1091" s="4">
        <v>41414</v>
      </c>
      <c r="K1091" s="6">
        <v>0.47916666666666669</v>
      </c>
      <c r="L1091" s="3">
        <v>4</v>
      </c>
      <c r="M1091" s="3" t="s">
        <v>29</v>
      </c>
      <c r="N1091" s="3" t="s">
        <v>29</v>
      </c>
      <c r="O1091" s="5"/>
      <c r="P1091" s="3" t="s">
        <v>22</v>
      </c>
      <c r="Q1091" s="7"/>
      <c r="R1091" s="7"/>
    </row>
    <row r="1092" spans="1:18" ht="38.25" x14ac:dyDescent="0.25">
      <c r="A1092" s="3" t="s">
        <v>18</v>
      </c>
      <c r="B1092" s="3">
        <v>2013</v>
      </c>
      <c r="C1092" s="3" t="s">
        <v>2058</v>
      </c>
      <c r="D1092" s="3" t="str">
        <f>"256 / 2013"</f>
        <v>256 / 2013</v>
      </c>
      <c r="E1092" s="4">
        <v>41418</v>
      </c>
      <c r="F1092" s="3" t="s">
        <v>2422</v>
      </c>
      <c r="G1092" s="5"/>
      <c r="H1092" s="3" t="s">
        <v>2423</v>
      </c>
      <c r="I1092" s="3">
        <v>16</v>
      </c>
      <c r="J1092" s="4">
        <v>41414</v>
      </c>
      <c r="K1092" s="6">
        <v>0.47916666666666669</v>
      </c>
      <c r="L1092" s="3">
        <v>5</v>
      </c>
      <c r="M1092" s="3" t="s">
        <v>2110</v>
      </c>
      <c r="N1092" s="3" t="s">
        <v>2110</v>
      </c>
      <c r="O1092" s="5"/>
      <c r="P1092" s="3" t="s">
        <v>22</v>
      </c>
      <c r="Q1092" s="7"/>
      <c r="R1092" s="7"/>
    </row>
    <row r="1093" spans="1:18" ht="38.25" x14ac:dyDescent="0.25">
      <c r="A1093" s="3" t="s">
        <v>18</v>
      </c>
      <c r="B1093" s="3">
        <v>2013</v>
      </c>
      <c r="C1093" s="3" t="s">
        <v>2058</v>
      </c>
      <c r="D1093" s="3" t="str">
        <f>"257 / 2013"</f>
        <v>257 / 2013</v>
      </c>
      <c r="E1093" s="4">
        <v>41418</v>
      </c>
      <c r="F1093" s="3" t="s">
        <v>2424</v>
      </c>
      <c r="G1093" s="5"/>
      <c r="H1093" s="3" t="s">
        <v>2425</v>
      </c>
      <c r="I1093" s="3">
        <v>16</v>
      </c>
      <c r="J1093" s="4">
        <v>41414</v>
      </c>
      <c r="K1093" s="6">
        <v>0.47916666666666669</v>
      </c>
      <c r="L1093" s="3">
        <v>6</v>
      </c>
      <c r="M1093" s="3" t="s">
        <v>2110</v>
      </c>
      <c r="N1093" s="3" t="s">
        <v>2110</v>
      </c>
      <c r="O1093" s="5"/>
      <c r="P1093" s="3" t="s">
        <v>22</v>
      </c>
      <c r="Q1093" s="7"/>
      <c r="R1093" s="7"/>
    </row>
    <row r="1094" spans="1:18" ht="165.75" x14ac:dyDescent="0.25">
      <c r="A1094" s="3" t="s">
        <v>18</v>
      </c>
      <c r="B1094" s="3">
        <v>2013</v>
      </c>
      <c r="C1094" s="3" t="s">
        <v>2058</v>
      </c>
      <c r="D1094" s="3" t="str">
        <f>"258 / 2013"</f>
        <v>258 / 2013</v>
      </c>
      <c r="E1094" s="4">
        <v>41417</v>
      </c>
      <c r="F1094" s="3" t="s">
        <v>2426</v>
      </c>
      <c r="G1094" s="5"/>
      <c r="H1094" s="3" t="s">
        <v>2427</v>
      </c>
      <c r="I1094" s="3">
        <v>16</v>
      </c>
      <c r="J1094" s="4">
        <v>41414</v>
      </c>
      <c r="K1094" s="6">
        <v>0.47916666666666669</v>
      </c>
      <c r="L1094" s="3">
        <v>7</v>
      </c>
      <c r="M1094" s="3" t="s">
        <v>2061</v>
      </c>
      <c r="N1094" s="3" t="s">
        <v>2061</v>
      </c>
      <c r="O1094" s="5"/>
      <c r="P1094" s="3" t="s">
        <v>22</v>
      </c>
      <c r="Q1094" s="7"/>
      <c r="R1094" s="7"/>
    </row>
    <row r="1095" spans="1:18" ht="127.5" x14ac:dyDescent="0.25">
      <c r="A1095" s="3" t="s">
        <v>18</v>
      </c>
      <c r="B1095" s="3">
        <v>2013</v>
      </c>
      <c r="C1095" s="3" t="s">
        <v>2058</v>
      </c>
      <c r="D1095" s="3" t="str">
        <f>"259 / 2013"</f>
        <v>259 / 2013</v>
      </c>
      <c r="E1095" s="4">
        <v>41417</v>
      </c>
      <c r="F1095" s="3" t="s">
        <v>2428</v>
      </c>
      <c r="G1095" s="5"/>
      <c r="H1095" s="3" t="s">
        <v>2429</v>
      </c>
      <c r="I1095" s="3">
        <v>16</v>
      </c>
      <c r="J1095" s="4">
        <v>41414</v>
      </c>
      <c r="K1095" s="6">
        <v>0.47916666666666669</v>
      </c>
      <c r="L1095" s="3">
        <v>8</v>
      </c>
      <c r="M1095" s="3" t="s">
        <v>2088</v>
      </c>
      <c r="N1095" s="3" t="s">
        <v>2088</v>
      </c>
      <c r="O1095" s="5"/>
      <c r="P1095" s="3" t="s">
        <v>22</v>
      </c>
      <c r="Q1095" s="7"/>
      <c r="R1095" s="7"/>
    </row>
    <row r="1096" spans="1:18" ht="102" x14ac:dyDescent="0.25">
      <c r="A1096" s="3" t="s">
        <v>18</v>
      </c>
      <c r="B1096" s="3">
        <v>2013</v>
      </c>
      <c r="C1096" s="3" t="s">
        <v>2058</v>
      </c>
      <c r="D1096" s="3" t="str">
        <f>"26 / 2013"</f>
        <v>26 / 2013</v>
      </c>
      <c r="E1096" s="4">
        <v>41303</v>
      </c>
      <c r="F1096" s="3" t="s">
        <v>2430</v>
      </c>
      <c r="G1096" s="5"/>
      <c r="H1096" s="3" t="s">
        <v>2431</v>
      </c>
      <c r="I1096" s="3">
        <v>3</v>
      </c>
      <c r="J1096" s="4">
        <v>41303</v>
      </c>
      <c r="K1096" s="6">
        <v>0.5</v>
      </c>
      <c r="L1096" s="3">
        <v>1</v>
      </c>
      <c r="M1096" s="3" t="s">
        <v>2432</v>
      </c>
      <c r="N1096" s="3" t="s">
        <v>2432</v>
      </c>
      <c r="O1096" s="5"/>
      <c r="P1096" s="3" t="s">
        <v>22</v>
      </c>
      <c r="Q1096" s="7"/>
      <c r="R1096" s="7"/>
    </row>
    <row r="1097" spans="1:18" ht="63.75" x14ac:dyDescent="0.25">
      <c r="A1097" s="3" t="s">
        <v>18</v>
      </c>
      <c r="B1097" s="3">
        <v>2013</v>
      </c>
      <c r="C1097" s="3" t="s">
        <v>2058</v>
      </c>
      <c r="D1097" s="3" t="str">
        <f>"260 / 2013"</f>
        <v>260 / 2013</v>
      </c>
      <c r="E1097" s="4">
        <v>41415</v>
      </c>
      <c r="F1097" s="3" t="s">
        <v>2433</v>
      </c>
      <c r="G1097" s="5"/>
      <c r="H1097" s="3" t="s">
        <v>2434</v>
      </c>
      <c r="I1097" s="3">
        <v>16</v>
      </c>
      <c r="J1097" s="4">
        <v>41414</v>
      </c>
      <c r="K1097" s="6">
        <v>0.47916666666666669</v>
      </c>
      <c r="L1097" s="3">
        <v>9</v>
      </c>
      <c r="M1097" s="3" t="s">
        <v>2110</v>
      </c>
      <c r="N1097" s="3" t="s">
        <v>2110</v>
      </c>
      <c r="O1097" s="5"/>
      <c r="P1097" s="3" t="s">
        <v>22</v>
      </c>
      <c r="Q1097" s="7"/>
      <c r="R1097" s="7"/>
    </row>
    <row r="1098" spans="1:18" ht="38.25" x14ac:dyDescent="0.25">
      <c r="A1098" s="3" t="s">
        <v>18</v>
      </c>
      <c r="B1098" s="3">
        <v>2013</v>
      </c>
      <c r="C1098" s="3" t="s">
        <v>2058</v>
      </c>
      <c r="D1098" s="3" t="str">
        <f>"261 / 2013"</f>
        <v>261 / 2013</v>
      </c>
      <c r="E1098" s="4">
        <v>41417</v>
      </c>
      <c r="F1098" s="3" t="s">
        <v>2435</v>
      </c>
      <c r="G1098" s="5"/>
      <c r="H1098" s="3" t="s">
        <v>2436</v>
      </c>
      <c r="I1098" s="3">
        <v>16</v>
      </c>
      <c r="J1098" s="4">
        <v>41414</v>
      </c>
      <c r="K1098" s="6">
        <v>0.47916666666666669</v>
      </c>
      <c r="L1098" s="3">
        <v>10</v>
      </c>
      <c r="M1098" s="3" t="s">
        <v>2437</v>
      </c>
      <c r="N1098" s="3" t="s">
        <v>2437</v>
      </c>
      <c r="O1098" s="5"/>
      <c r="P1098" s="3" t="s">
        <v>22</v>
      </c>
      <c r="Q1098" s="7"/>
      <c r="R1098" s="7"/>
    </row>
    <row r="1099" spans="1:18" ht="51" x14ac:dyDescent="0.25">
      <c r="A1099" s="3" t="s">
        <v>18</v>
      </c>
      <c r="B1099" s="3">
        <v>2013</v>
      </c>
      <c r="C1099" s="3" t="s">
        <v>2058</v>
      </c>
      <c r="D1099" s="3" t="str">
        <f>"262 / 2013"</f>
        <v>262 / 2013</v>
      </c>
      <c r="E1099" s="4">
        <v>41421</v>
      </c>
      <c r="F1099" s="3" t="s">
        <v>2438</v>
      </c>
      <c r="G1099" s="5"/>
      <c r="H1099" s="3" t="s">
        <v>2439</v>
      </c>
      <c r="I1099" s="3">
        <v>16</v>
      </c>
      <c r="J1099" s="4">
        <v>41414</v>
      </c>
      <c r="K1099" s="6">
        <v>0.47916666666666669</v>
      </c>
      <c r="L1099" s="3">
        <v>11</v>
      </c>
      <c r="M1099" s="3" t="s">
        <v>2117</v>
      </c>
      <c r="N1099" s="3" t="s">
        <v>2117</v>
      </c>
      <c r="O1099" s="5"/>
      <c r="P1099" s="3" t="s">
        <v>22</v>
      </c>
      <c r="Q1099" s="7"/>
      <c r="R1099" s="7"/>
    </row>
    <row r="1100" spans="1:18" ht="63.75" x14ac:dyDescent="0.25">
      <c r="A1100" s="3" t="s">
        <v>18</v>
      </c>
      <c r="B1100" s="3">
        <v>2013</v>
      </c>
      <c r="C1100" s="3" t="s">
        <v>2058</v>
      </c>
      <c r="D1100" s="3" t="str">
        <f>"263 / 2013"</f>
        <v>263 / 2013</v>
      </c>
      <c r="E1100" s="4">
        <v>41415</v>
      </c>
      <c r="F1100" s="3" t="s">
        <v>2440</v>
      </c>
      <c r="G1100" s="5"/>
      <c r="H1100" s="3" t="s">
        <v>2441</v>
      </c>
      <c r="I1100" s="3">
        <v>16</v>
      </c>
      <c r="J1100" s="4">
        <v>41414</v>
      </c>
      <c r="K1100" s="6">
        <v>0.47916666666666669</v>
      </c>
      <c r="L1100" s="3">
        <v>12</v>
      </c>
      <c r="M1100" s="3" t="s">
        <v>2442</v>
      </c>
      <c r="N1100" s="3" t="s">
        <v>2442</v>
      </c>
      <c r="O1100" s="5"/>
      <c r="P1100" s="3" t="s">
        <v>22</v>
      </c>
      <c r="Q1100" s="7"/>
      <c r="R1100" s="7"/>
    </row>
    <row r="1101" spans="1:18" ht="127.5" x14ac:dyDescent="0.25">
      <c r="A1101" s="3" t="s">
        <v>18</v>
      </c>
      <c r="B1101" s="3">
        <v>2013</v>
      </c>
      <c r="C1101" s="3" t="s">
        <v>2058</v>
      </c>
      <c r="D1101" s="3" t="str">
        <f>"264 / 2013"</f>
        <v>264 / 2013</v>
      </c>
      <c r="E1101" s="4">
        <v>41415</v>
      </c>
      <c r="F1101" s="3" t="s">
        <v>2443</v>
      </c>
      <c r="G1101" s="5"/>
      <c r="H1101" s="3" t="s">
        <v>2444</v>
      </c>
      <c r="I1101" s="3">
        <v>16</v>
      </c>
      <c r="J1101" s="4">
        <v>41414</v>
      </c>
      <c r="K1101" s="6">
        <v>0.47916666666666669</v>
      </c>
      <c r="L1101" s="3">
        <v>13</v>
      </c>
      <c r="M1101" s="3" t="s">
        <v>2445</v>
      </c>
      <c r="N1101" s="3" t="s">
        <v>2445</v>
      </c>
      <c r="O1101" s="5"/>
      <c r="P1101" s="3" t="s">
        <v>22</v>
      </c>
      <c r="Q1101" s="7"/>
      <c r="R1101" s="7"/>
    </row>
    <row r="1102" spans="1:18" ht="114.75" x14ac:dyDescent="0.25">
      <c r="A1102" s="3" t="s">
        <v>18</v>
      </c>
      <c r="B1102" s="3">
        <v>2013</v>
      </c>
      <c r="C1102" s="3" t="s">
        <v>2058</v>
      </c>
      <c r="D1102" s="3" t="str">
        <f>"265 / 2013"</f>
        <v>265 / 2013</v>
      </c>
      <c r="E1102" s="4">
        <v>41415</v>
      </c>
      <c r="F1102" s="3" t="s">
        <v>2446</v>
      </c>
      <c r="G1102" s="5"/>
      <c r="H1102" s="3" t="s">
        <v>2447</v>
      </c>
      <c r="I1102" s="3">
        <v>16</v>
      </c>
      <c r="J1102" s="4">
        <v>41414</v>
      </c>
      <c r="K1102" s="6">
        <v>0.47916666666666669</v>
      </c>
      <c r="L1102" s="3">
        <v>14</v>
      </c>
      <c r="M1102" s="3" t="s">
        <v>2448</v>
      </c>
      <c r="N1102" s="3" t="s">
        <v>2448</v>
      </c>
      <c r="O1102" s="5"/>
      <c r="P1102" s="3" t="s">
        <v>22</v>
      </c>
      <c r="Q1102" s="7"/>
      <c r="R1102" s="7"/>
    </row>
    <row r="1103" spans="1:18" ht="38.25" x14ac:dyDescent="0.25">
      <c r="A1103" s="3" t="s">
        <v>18</v>
      </c>
      <c r="B1103" s="3">
        <v>2013</v>
      </c>
      <c r="C1103" s="3" t="s">
        <v>2058</v>
      </c>
      <c r="D1103" s="3" t="str">
        <f>"266/ 2013"</f>
        <v>266/ 2013</v>
      </c>
      <c r="E1103" s="4">
        <v>41415</v>
      </c>
      <c r="F1103" s="3" t="s">
        <v>2449</v>
      </c>
      <c r="G1103" s="5"/>
      <c r="H1103" s="3" t="s">
        <v>2450</v>
      </c>
      <c r="I1103" s="3">
        <v>16</v>
      </c>
      <c r="J1103" s="4">
        <v>41414</v>
      </c>
      <c r="K1103" s="6">
        <v>0.47916666666666669</v>
      </c>
      <c r="L1103" s="3">
        <v>15</v>
      </c>
      <c r="M1103" s="3" t="s">
        <v>2110</v>
      </c>
      <c r="N1103" s="3" t="s">
        <v>2110</v>
      </c>
      <c r="O1103" s="5"/>
      <c r="P1103" s="3" t="s">
        <v>22</v>
      </c>
      <c r="Q1103" s="7"/>
      <c r="R1103" s="7"/>
    </row>
    <row r="1104" spans="1:18" ht="114.75" x14ac:dyDescent="0.25">
      <c r="A1104" s="3" t="s">
        <v>18</v>
      </c>
      <c r="B1104" s="3">
        <v>2013</v>
      </c>
      <c r="C1104" s="3" t="s">
        <v>2058</v>
      </c>
      <c r="D1104" s="3" t="str">
        <f>"267 / 2013"</f>
        <v>267 / 2013</v>
      </c>
      <c r="E1104" s="4">
        <v>41421</v>
      </c>
      <c r="F1104" s="3" t="s">
        <v>2451</v>
      </c>
      <c r="G1104" s="5"/>
      <c r="H1104" s="3" t="s">
        <v>2452</v>
      </c>
      <c r="I1104" s="3">
        <v>16</v>
      </c>
      <c r="J1104" s="4">
        <v>41414</v>
      </c>
      <c r="K1104" s="6">
        <v>0.47916666666666669</v>
      </c>
      <c r="L1104" s="3">
        <v>16</v>
      </c>
      <c r="M1104" s="3" t="s">
        <v>2110</v>
      </c>
      <c r="N1104" s="3" t="s">
        <v>2110</v>
      </c>
      <c r="O1104" s="5"/>
      <c r="P1104" s="3" t="s">
        <v>22</v>
      </c>
      <c r="Q1104" s="7"/>
      <c r="R1104" s="7"/>
    </row>
    <row r="1105" spans="1:18" ht="165.75" x14ac:dyDescent="0.25">
      <c r="A1105" s="3" t="s">
        <v>18</v>
      </c>
      <c r="B1105" s="3">
        <v>2013</v>
      </c>
      <c r="C1105" s="3" t="s">
        <v>2058</v>
      </c>
      <c r="D1105" s="3" t="str">
        <f>"268 / 2013"</f>
        <v>268 / 2013</v>
      </c>
      <c r="E1105" s="4">
        <v>41418</v>
      </c>
      <c r="F1105" s="3" t="s">
        <v>2453</v>
      </c>
      <c r="G1105" s="5"/>
      <c r="H1105" s="3" t="s">
        <v>2454</v>
      </c>
      <c r="I1105" s="3">
        <v>16</v>
      </c>
      <c r="J1105" s="4">
        <v>41414</v>
      </c>
      <c r="K1105" s="6">
        <v>0.47916666666666669</v>
      </c>
      <c r="L1105" s="3">
        <v>17</v>
      </c>
      <c r="M1105" s="3" t="s">
        <v>2455</v>
      </c>
      <c r="N1105" s="3" t="s">
        <v>2455</v>
      </c>
      <c r="O1105" s="5"/>
      <c r="P1105" s="3" t="s">
        <v>22</v>
      </c>
      <c r="Q1105" s="7"/>
      <c r="R1105" s="7"/>
    </row>
    <row r="1106" spans="1:18" ht="63.75" x14ac:dyDescent="0.25">
      <c r="A1106" s="3" t="s">
        <v>18</v>
      </c>
      <c r="B1106" s="3">
        <v>2013</v>
      </c>
      <c r="C1106" s="3" t="s">
        <v>2058</v>
      </c>
      <c r="D1106" s="3" t="str">
        <f>"269 / 2013"</f>
        <v>269 / 2013</v>
      </c>
      <c r="E1106" s="4">
        <v>41418</v>
      </c>
      <c r="F1106" s="3" t="s">
        <v>2456</v>
      </c>
      <c r="G1106" s="5"/>
      <c r="H1106" s="3" t="s">
        <v>2457</v>
      </c>
      <c r="I1106" s="3">
        <v>16</v>
      </c>
      <c r="J1106" s="4">
        <v>41414</v>
      </c>
      <c r="K1106" s="6">
        <v>0.47916666666666669</v>
      </c>
      <c r="L1106" s="3">
        <v>18</v>
      </c>
      <c r="M1106" s="3" t="s">
        <v>2300</v>
      </c>
      <c r="N1106" s="3" t="s">
        <v>2300</v>
      </c>
      <c r="O1106" s="5"/>
      <c r="P1106" s="3" t="s">
        <v>22</v>
      </c>
      <c r="Q1106" s="7"/>
      <c r="R1106" s="7"/>
    </row>
    <row r="1107" spans="1:18" ht="51" x14ac:dyDescent="0.25">
      <c r="A1107" s="3" t="s">
        <v>18</v>
      </c>
      <c r="B1107" s="3">
        <v>2013</v>
      </c>
      <c r="C1107" s="3" t="s">
        <v>2058</v>
      </c>
      <c r="D1107" s="3" t="str">
        <f>"27 / 2013"</f>
        <v>27 / 2013</v>
      </c>
      <c r="E1107" s="4">
        <v>41304</v>
      </c>
      <c r="F1107" s="3" t="s">
        <v>2458</v>
      </c>
      <c r="G1107" s="5"/>
      <c r="H1107" s="3" t="s">
        <v>2459</v>
      </c>
      <c r="I1107" s="3">
        <v>3</v>
      </c>
      <c r="J1107" s="4">
        <v>41303</v>
      </c>
      <c r="K1107" s="6">
        <v>0.5</v>
      </c>
      <c r="L1107" s="3">
        <v>2</v>
      </c>
      <c r="M1107" s="3" t="s">
        <v>2460</v>
      </c>
      <c r="N1107" s="3" t="s">
        <v>2460</v>
      </c>
      <c r="O1107" s="5"/>
      <c r="P1107" s="3" t="s">
        <v>22</v>
      </c>
      <c r="Q1107" s="7"/>
      <c r="R1107" s="7"/>
    </row>
    <row r="1108" spans="1:18" ht="51" x14ac:dyDescent="0.25">
      <c r="A1108" s="3" t="s">
        <v>18</v>
      </c>
      <c r="B1108" s="3">
        <v>2013</v>
      </c>
      <c r="C1108" s="3" t="s">
        <v>2058</v>
      </c>
      <c r="D1108" s="3" t="str">
        <f>"270 / 2013"</f>
        <v>270 / 2013</v>
      </c>
      <c r="E1108" s="4">
        <v>41421</v>
      </c>
      <c r="F1108" s="3" t="s">
        <v>2461</v>
      </c>
      <c r="G1108" s="5"/>
      <c r="H1108" s="3" t="s">
        <v>2462</v>
      </c>
      <c r="I1108" s="3">
        <v>16</v>
      </c>
      <c r="J1108" s="4">
        <v>41414</v>
      </c>
      <c r="K1108" s="6">
        <v>0.47916666666666669</v>
      </c>
      <c r="L1108" s="3">
        <v>19</v>
      </c>
      <c r="M1108" s="3" t="s">
        <v>2117</v>
      </c>
      <c r="N1108" s="3" t="s">
        <v>2117</v>
      </c>
      <c r="O1108" s="5"/>
      <c r="P1108" s="3" t="s">
        <v>22</v>
      </c>
      <c r="Q1108" s="7"/>
      <c r="R1108" s="7"/>
    </row>
    <row r="1109" spans="1:18" ht="76.5" x14ac:dyDescent="0.25">
      <c r="A1109" s="3" t="s">
        <v>18</v>
      </c>
      <c r="B1109" s="3">
        <v>2013</v>
      </c>
      <c r="C1109" s="3" t="s">
        <v>2058</v>
      </c>
      <c r="D1109" s="3" t="str">
        <f>"271 / 2013"</f>
        <v>271 / 2013</v>
      </c>
      <c r="E1109" s="4">
        <v>41415</v>
      </c>
      <c r="F1109" s="3" t="s">
        <v>2463</v>
      </c>
      <c r="G1109" s="5"/>
      <c r="H1109" s="3" t="s">
        <v>2464</v>
      </c>
      <c r="I1109" s="3">
        <v>16</v>
      </c>
      <c r="J1109" s="4">
        <v>41414</v>
      </c>
      <c r="K1109" s="6">
        <v>0.47916666666666669</v>
      </c>
      <c r="L1109" s="3">
        <v>20</v>
      </c>
      <c r="M1109" s="3" t="s">
        <v>2110</v>
      </c>
      <c r="N1109" s="3" t="s">
        <v>2110</v>
      </c>
      <c r="O1109" s="5"/>
      <c r="P1109" s="3" t="s">
        <v>22</v>
      </c>
      <c r="Q1109" s="7"/>
      <c r="R1109" s="7"/>
    </row>
    <row r="1110" spans="1:18" ht="114.75" x14ac:dyDescent="0.25">
      <c r="A1110" s="3" t="s">
        <v>18</v>
      </c>
      <c r="B1110" s="3">
        <v>2013</v>
      </c>
      <c r="C1110" s="3" t="s">
        <v>2058</v>
      </c>
      <c r="D1110" s="3" t="str">
        <f>"272 / 2013"</f>
        <v>272 / 2013</v>
      </c>
      <c r="E1110" s="4">
        <v>41428</v>
      </c>
      <c r="F1110" s="3" t="s">
        <v>2465</v>
      </c>
      <c r="G1110" s="5"/>
      <c r="H1110" s="3" t="s">
        <v>2466</v>
      </c>
      <c r="I1110" s="3">
        <v>16</v>
      </c>
      <c r="J1110" s="4">
        <v>41414</v>
      </c>
      <c r="K1110" s="6">
        <v>0.47916666666666669</v>
      </c>
      <c r="L1110" s="3">
        <v>21</v>
      </c>
      <c r="M1110" s="3" t="s">
        <v>2467</v>
      </c>
      <c r="N1110" s="3" t="s">
        <v>2467</v>
      </c>
      <c r="O1110" s="5"/>
      <c r="P1110" s="3" t="s">
        <v>22</v>
      </c>
      <c r="Q1110" s="7"/>
      <c r="R1110" s="7"/>
    </row>
    <row r="1111" spans="1:18" ht="63.75" x14ac:dyDescent="0.25">
      <c r="A1111" s="3" t="s">
        <v>18</v>
      </c>
      <c r="B1111" s="3">
        <v>2013</v>
      </c>
      <c r="C1111" s="3" t="s">
        <v>2058</v>
      </c>
      <c r="D1111" s="3" t="str">
        <f>"273 / 2013"</f>
        <v>273 / 2013</v>
      </c>
      <c r="E1111" s="4">
        <v>41417</v>
      </c>
      <c r="F1111" s="3" t="s">
        <v>2468</v>
      </c>
      <c r="G1111" s="5"/>
      <c r="H1111" s="3" t="s">
        <v>2469</v>
      </c>
      <c r="I1111" s="3">
        <v>16</v>
      </c>
      <c r="J1111" s="4">
        <v>41414</v>
      </c>
      <c r="K1111" s="6">
        <v>0.47916666666666669</v>
      </c>
      <c r="L1111" s="3">
        <v>22</v>
      </c>
      <c r="M1111" s="3" t="s">
        <v>2150</v>
      </c>
      <c r="N1111" s="3" t="s">
        <v>2150</v>
      </c>
      <c r="O1111" s="5"/>
      <c r="P1111" s="3" t="s">
        <v>22</v>
      </c>
      <c r="Q1111" s="7"/>
      <c r="R1111" s="7"/>
    </row>
    <row r="1112" spans="1:18" ht="76.5" x14ac:dyDescent="0.25">
      <c r="A1112" s="3" t="s">
        <v>18</v>
      </c>
      <c r="B1112" s="3">
        <v>2013</v>
      </c>
      <c r="C1112" s="3" t="s">
        <v>2058</v>
      </c>
      <c r="D1112" s="3" t="str">
        <f>"275/ 2013"</f>
        <v>275/ 2013</v>
      </c>
      <c r="E1112" s="4">
        <v>41428</v>
      </c>
      <c r="F1112" s="3" t="s">
        <v>2470</v>
      </c>
      <c r="G1112" s="5"/>
      <c r="H1112" s="3" t="s">
        <v>2471</v>
      </c>
      <c r="I1112" s="3">
        <v>17</v>
      </c>
      <c r="J1112" s="4">
        <v>41422</v>
      </c>
      <c r="K1112" s="6">
        <v>0.47916666666666669</v>
      </c>
      <c r="L1112" s="3">
        <v>2</v>
      </c>
      <c r="M1112" s="3" t="s">
        <v>2061</v>
      </c>
      <c r="N1112" s="3" t="s">
        <v>2061</v>
      </c>
      <c r="O1112" s="5"/>
      <c r="P1112" s="3" t="s">
        <v>22</v>
      </c>
      <c r="Q1112" s="7"/>
      <c r="R1112" s="7"/>
    </row>
    <row r="1113" spans="1:18" ht="63.75" x14ac:dyDescent="0.25">
      <c r="A1113" s="3" t="s">
        <v>18</v>
      </c>
      <c r="B1113" s="3">
        <v>2013</v>
      </c>
      <c r="C1113" s="3" t="s">
        <v>2058</v>
      </c>
      <c r="D1113" s="3" t="str">
        <f>"276 / 2013"</f>
        <v>276 / 2013</v>
      </c>
      <c r="E1113" s="4">
        <v>41429</v>
      </c>
      <c r="F1113" s="3" t="s">
        <v>2472</v>
      </c>
      <c r="G1113" s="5"/>
      <c r="H1113" s="3" t="s">
        <v>2473</v>
      </c>
      <c r="I1113" s="3">
        <v>17</v>
      </c>
      <c r="J1113" s="4">
        <v>41422</v>
      </c>
      <c r="K1113" s="6">
        <v>0.47916666666666669</v>
      </c>
      <c r="L1113" s="3">
        <v>3</v>
      </c>
      <c r="M1113" s="3" t="s">
        <v>2061</v>
      </c>
      <c r="N1113" s="3" t="s">
        <v>2061</v>
      </c>
      <c r="O1113" s="5"/>
      <c r="P1113" s="3" t="s">
        <v>22</v>
      </c>
      <c r="Q1113" s="7"/>
      <c r="R1113" s="7"/>
    </row>
    <row r="1114" spans="1:18" ht="63.75" x14ac:dyDescent="0.25">
      <c r="A1114" s="3" t="s">
        <v>18</v>
      </c>
      <c r="B1114" s="3">
        <v>2013</v>
      </c>
      <c r="C1114" s="3" t="s">
        <v>2058</v>
      </c>
      <c r="D1114" s="3" t="str">
        <f>"277 / 2013"</f>
        <v>277 / 2013</v>
      </c>
      <c r="E1114" s="4">
        <v>41429</v>
      </c>
      <c r="F1114" s="4">
        <v>41429</v>
      </c>
      <c r="G1114" s="5"/>
      <c r="H1114" s="3" t="s">
        <v>2474</v>
      </c>
      <c r="I1114" s="3">
        <v>17</v>
      </c>
      <c r="J1114" s="4">
        <v>41422</v>
      </c>
      <c r="K1114" s="6">
        <v>0.47916666666666669</v>
      </c>
      <c r="L1114" s="3">
        <v>4</v>
      </c>
      <c r="M1114" s="3" t="s">
        <v>2061</v>
      </c>
      <c r="N1114" s="3" t="s">
        <v>2061</v>
      </c>
      <c r="O1114" s="5"/>
      <c r="P1114" s="3" t="s">
        <v>22</v>
      </c>
      <c r="Q1114" s="7"/>
      <c r="R1114" s="7"/>
    </row>
    <row r="1115" spans="1:18" ht="63.75" x14ac:dyDescent="0.25">
      <c r="A1115" s="3" t="s">
        <v>18</v>
      </c>
      <c r="B1115" s="3">
        <v>2013</v>
      </c>
      <c r="C1115" s="3" t="s">
        <v>2058</v>
      </c>
      <c r="D1115" s="3" t="str">
        <f>"278 / 2013"</f>
        <v>278 / 2013</v>
      </c>
      <c r="E1115" s="4">
        <v>41425</v>
      </c>
      <c r="F1115" s="3" t="s">
        <v>2475</v>
      </c>
      <c r="G1115" s="5"/>
      <c r="H1115" s="3" t="s">
        <v>2476</v>
      </c>
      <c r="I1115" s="3">
        <v>17</v>
      </c>
      <c r="J1115" s="4">
        <v>41422</v>
      </c>
      <c r="K1115" s="6">
        <v>0.47916666666666669</v>
      </c>
      <c r="L1115" s="3">
        <v>5</v>
      </c>
      <c r="M1115" s="3" t="s">
        <v>2061</v>
      </c>
      <c r="N1115" s="3" t="s">
        <v>2061</v>
      </c>
      <c r="O1115" s="5"/>
      <c r="P1115" s="3" t="s">
        <v>22</v>
      </c>
      <c r="Q1115" s="7"/>
      <c r="R1115" s="7"/>
    </row>
    <row r="1116" spans="1:18" ht="76.5" x14ac:dyDescent="0.25">
      <c r="A1116" s="3" t="s">
        <v>18</v>
      </c>
      <c r="B1116" s="3">
        <v>2013</v>
      </c>
      <c r="C1116" s="3" t="s">
        <v>2058</v>
      </c>
      <c r="D1116" s="3" t="str">
        <f>"279 / 2013"</f>
        <v>279 / 2013</v>
      </c>
      <c r="E1116" s="4">
        <v>41425</v>
      </c>
      <c r="F1116" s="4">
        <v>41425</v>
      </c>
      <c r="G1116" s="5"/>
      <c r="H1116" s="3" t="s">
        <v>2477</v>
      </c>
      <c r="I1116" s="3">
        <v>17</v>
      </c>
      <c r="J1116" s="4">
        <v>41422</v>
      </c>
      <c r="K1116" s="6">
        <v>0.47916666666666669</v>
      </c>
      <c r="L1116" s="3">
        <v>6</v>
      </c>
      <c r="M1116" s="3" t="s">
        <v>2061</v>
      </c>
      <c r="N1116" s="3" t="s">
        <v>2061</v>
      </c>
      <c r="O1116" s="5"/>
      <c r="P1116" s="3" t="s">
        <v>22</v>
      </c>
      <c r="Q1116" s="7"/>
      <c r="R1116" s="7"/>
    </row>
    <row r="1117" spans="1:18" ht="76.5" x14ac:dyDescent="0.25">
      <c r="A1117" s="3" t="s">
        <v>18</v>
      </c>
      <c r="B1117" s="3">
        <v>2013</v>
      </c>
      <c r="C1117" s="3" t="s">
        <v>2058</v>
      </c>
      <c r="D1117" s="3" t="str">
        <f>"28 / 2013"</f>
        <v>28 / 2013</v>
      </c>
      <c r="E1117" s="4">
        <v>41316</v>
      </c>
      <c r="F1117" s="3" t="s">
        <v>2478</v>
      </c>
      <c r="G1117" s="5"/>
      <c r="H1117" s="3" t="s">
        <v>2479</v>
      </c>
      <c r="I1117" s="3">
        <v>4</v>
      </c>
      <c r="J1117" s="4">
        <v>41312</v>
      </c>
      <c r="K1117" s="6">
        <v>0.5</v>
      </c>
      <c r="L1117" s="3">
        <v>1</v>
      </c>
      <c r="M1117" s="3" t="s">
        <v>2102</v>
      </c>
      <c r="N1117" s="3" t="s">
        <v>2102</v>
      </c>
      <c r="O1117" s="5"/>
      <c r="P1117" s="3" t="s">
        <v>22</v>
      </c>
      <c r="Q1117" s="7"/>
      <c r="R1117" s="7"/>
    </row>
    <row r="1118" spans="1:18" ht="51" x14ac:dyDescent="0.25">
      <c r="A1118" s="3" t="s">
        <v>18</v>
      </c>
      <c r="B1118" s="3">
        <v>2013</v>
      </c>
      <c r="C1118" s="3" t="s">
        <v>2058</v>
      </c>
      <c r="D1118" s="3" t="str">
        <f>"280 / 2013"</f>
        <v>280 / 2013</v>
      </c>
      <c r="E1118" s="4">
        <v>41423</v>
      </c>
      <c r="F1118" s="3" t="s">
        <v>2480</v>
      </c>
      <c r="G1118" s="5"/>
      <c r="H1118" s="3" t="s">
        <v>2481</v>
      </c>
      <c r="I1118" s="3">
        <v>17</v>
      </c>
      <c r="J1118" s="4">
        <v>41422</v>
      </c>
      <c r="K1118" s="6">
        <v>0.47916666666666669</v>
      </c>
      <c r="L1118" s="3">
        <v>7</v>
      </c>
      <c r="M1118" s="3" t="s">
        <v>2061</v>
      </c>
      <c r="N1118" s="3" t="s">
        <v>2061</v>
      </c>
      <c r="O1118" s="5"/>
      <c r="P1118" s="3" t="s">
        <v>22</v>
      </c>
      <c r="Q1118" s="7"/>
      <c r="R1118" s="7"/>
    </row>
    <row r="1119" spans="1:18" ht="76.5" x14ac:dyDescent="0.25">
      <c r="A1119" s="3" t="s">
        <v>18</v>
      </c>
      <c r="B1119" s="3">
        <v>2013</v>
      </c>
      <c r="C1119" s="3" t="s">
        <v>2058</v>
      </c>
      <c r="D1119" s="3" t="str">
        <f>"281/ 2013"</f>
        <v>281/ 2013</v>
      </c>
      <c r="E1119" s="4">
        <v>41428</v>
      </c>
      <c r="F1119" s="3" t="s">
        <v>2482</v>
      </c>
      <c r="G1119" s="5"/>
      <c r="H1119" s="3" t="s">
        <v>2483</v>
      </c>
      <c r="I1119" s="3">
        <v>17</v>
      </c>
      <c r="J1119" s="4">
        <v>41422</v>
      </c>
      <c r="K1119" s="6">
        <v>0.47916666666666669</v>
      </c>
      <c r="L1119" s="3">
        <v>8</v>
      </c>
      <c r="M1119" s="3" t="s">
        <v>2061</v>
      </c>
      <c r="N1119" s="3" t="s">
        <v>2061</v>
      </c>
      <c r="O1119" s="5"/>
      <c r="P1119" s="3" t="s">
        <v>22</v>
      </c>
      <c r="Q1119" s="7"/>
      <c r="R1119" s="7"/>
    </row>
    <row r="1120" spans="1:18" ht="89.25" x14ac:dyDescent="0.25">
      <c r="A1120" s="3" t="s">
        <v>18</v>
      </c>
      <c r="B1120" s="3">
        <v>2013</v>
      </c>
      <c r="C1120" s="3" t="s">
        <v>2058</v>
      </c>
      <c r="D1120" s="3" t="str">
        <f>"282 / 2013"</f>
        <v>282 / 2013</v>
      </c>
      <c r="E1120" s="4">
        <v>41429</v>
      </c>
      <c r="F1120" s="3" t="s">
        <v>2484</v>
      </c>
      <c r="G1120" s="5"/>
      <c r="H1120" s="3" t="s">
        <v>2485</v>
      </c>
      <c r="I1120" s="3">
        <v>17</v>
      </c>
      <c r="J1120" s="4">
        <v>41422</v>
      </c>
      <c r="K1120" s="6">
        <v>0.47916666666666669</v>
      </c>
      <c r="L1120" s="3">
        <v>9</v>
      </c>
      <c r="M1120" s="3" t="s">
        <v>29</v>
      </c>
      <c r="N1120" s="3" t="s">
        <v>29</v>
      </c>
      <c r="O1120" s="5"/>
      <c r="P1120" s="3" t="s">
        <v>22</v>
      </c>
      <c r="Q1120" s="7"/>
      <c r="R1120" s="7"/>
    </row>
    <row r="1121" spans="1:18" ht="51" x14ac:dyDescent="0.25">
      <c r="A1121" s="3" t="s">
        <v>18</v>
      </c>
      <c r="B1121" s="3">
        <v>2013</v>
      </c>
      <c r="C1121" s="3" t="s">
        <v>2058</v>
      </c>
      <c r="D1121" s="3" t="str">
        <f>"283 / 2013"</f>
        <v>283 / 2013</v>
      </c>
      <c r="E1121" s="4">
        <v>41428</v>
      </c>
      <c r="F1121" s="3" t="s">
        <v>2486</v>
      </c>
      <c r="G1121" s="5"/>
      <c r="H1121" s="3" t="s">
        <v>2487</v>
      </c>
      <c r="I1121" s="3">
        <v>17</v>
      </c>
      <c r="J1121" s="4">
        <v>41422</v>
      </c>
      <c r="K1121" s="6">
        <v>0.47916666666666669</v>
      </c>
      <c r="L1121" s="3">
        <v>10</v>
      </c>
      <c r="M1121" s="3" t="s">
        <v>2110</v>
      </c>
      <c r="N1121" s="3" t="s">
        <v>2110</v>
      </c>
      <c r="O1121" s="5"/>
      <c r="P1121" s="3" t="s">
        <v>22</v>
      </c>
      <c r="Q1121" s="7"/>
      <c r="R1121" s="7"/>
    </row>
    <row r="1122" spans="1:18" ht="89.25" x14ac:dyDescent="0.25">
      <c r="A1122" s="3" t="s">
        <v>18</v>
      </c>
      <c r="B1122" s="3">
        <v>2013</v>
      </c>
      <c r="C1122" s="3" t="s">
        <v>2058</v>
      </c>
      <c r="D1122" s="3" t="str">
        <f>"284 / 2013"</f>
        <v>284 / 2013</v>
      </c>
      <c r="E1122" s="4">
        <v>41424</v>
      </c>
      <c r="F1122" s="3" t="s">
        <v>2488</v>
      </c>
      <c r="G1122" s="5"/>
      <c r="H1122" s="3" t="s">
        <v>2489</v>
      </c>
      <c r="I1122" s="3">
        <v>17</v>
      </c>
      <c r="J1122" s="4">
        <v>41422</v>
      </c>
      <c r="K1122" s="6">
        <v>0.47916666666666669</v>
      </c>
      <c r="L1122" s="3">
        <v>11</v>
      </c>
      <c r="M1122" s="3" t="s">
        <v>2117</v>
      </c>
      <c r="N1122" s="3" t="s">
        <v>2117</v>
      </c>
      <c r="O1122" s="5"/>
      <c r="P1122" s="3" t="s">
        <v>22</v>
      </c>
      <c r="Q1122" s="7"/>
      <c r="R1122" s="7"/>
    </row>
    <row r="1123" spans="1:18" ht="114.75" x14ac:dyDescent="0.25">
      <c r="A1123" s="3" t="s">
        <v>18</v>
      </c>
      <c r="B1123" s="3">
        <v>2013</v>
      </c>
      <c r="C1123" s="3" t="s">
        <v>2058</v>
      </c>
      <c r="D1123" s="3" t="str">
        <f>"286 / 2013"</f>
        <v>286 / 2013</v>
      </c>
      <c r="E1123" s="4">
        <v>41429</v>
      </c>
      <c r="F1123" s="3" t="s">
        <v>2490</v>
      </c>
      <c r="G1123" s="5"/>
      <c r="H1123" s="3" t="s">
        <v>2491</v>
      </c>
      <c r="I1123" s="3">
        <v>17</v>
      </c>
      <c r="J1123" s="4">
        <v>41422</v>
      </c>
      <c r="K1123" s="6">
        <v>0.47916666666666669</v>
      </c>
      <c r="L1123" s="3">
        <v>13</v>
      </c>
      <c r="M1123" s="3" t="s">
        <v>2099</v>
      </c>
      <c r="N1123" s="3" t="s">
        <v>2099</v>
      </c>
      <c r="O1123" s="5"/>
      <c r="P1123" s="3" t="s">
        <v>22</v>
      </c>
      <c r="Q1123" s="7"/>
      <c r="R1123" s="7"/>
    </row>
    <row r="1124" spans="1:18" ht="76.5" x14ac:dyDescent="0.25">
      <c r="A1124" s="3" t="s">
        <v>18</v>
      </c>
      <c r="B1124" s="3">
        <v>2013</v>
      </c>
      <c r="C1124" s="3" t="s">
        <v>2058</v>
      </c>
      <c r="D1124" s="3" t="str">
        <f>"287 / 2013"</f>
        <v>287 / 2013</v>
      </c>
      <c r="E1124" s="4">
        <v>41428</v>
      </c>
      <c r="F1124" s="3" t="s">
        <v>2492</v>
      </c>
      <c r="G1124" s="5"/>
      <c r="H1124" s="3" t="s">
        <v>2493</v>
      </c>
      <c r="I1124" s="3">
        <v>17</v>
      </c>
      <c r="J1124" s="4">
        <v>41422</v>
      </c>
      <c r="K1124" s="6">
        <v>0.47916666666666669</v>
      </c>
      <c r="L1124" s="3">
        <v>14</v>
      </c>
      <c r="M1124" s="3" t="s">
        <v>2099</v>
      </c>
      <c r="N1124" s="3" t="s">
        <v>2099</v>
      </c>
      <c r="O1124" s="5"/>
      <c r="P1124" s="3" t="s">
        <v>22</v>
      </c>
      <c r="Q1124" s="7"/>
      <c r="R1124" s="7"/>
    </row>
    <row r="1125" spans="1:18" ht="63.75" x14ac:dyDescent="0.25">
      <c r="A1125" s="3" t="s">
        <v>18</v>
      </c>
      <c r="B1125" s="3">
        <v>2013</v>
      </c>
      <c r="C1125" s="3" t="s">
        <v>2058</v>
      </c>
      <c r="D1125" s="3" t="str">
        <f>"288/ 2013"</f>
        <v>288/ 2013</v>
      </c>
      <c r="E1125" s="4">
        <v>41428</v>
      </c>
      <c r="F1125" s="3" t="s">
        <v>2494</v>
      </c>
      <c r="G1125" s="5"/>
      <c r="H1125" s="3" t="s">
        <v>2495</v>
      </c>
      <c r="I1125" s="3">
        <v>17</v>
      </c>
      <c r="J1125" s="4">
        <v>41422</v>
      </c>
      <c r="K1125" s="6">
        <v>0.47916666666666669</v>
      </c>
      <c r="L1125" s="3">
        <v>15</v>
      </c>
      <c r="M1125" s="3" t="s">
        <v>2061</v>
      </c>
      <c r="N1125" s="3" t="s">
        <v>2061</v>
      </c>
      <c r="O1125" s="5"/>
      <c r="P1125" s="3" t="s">
        <v>22</v>
      </c>
      <c r="Q1125" s="7"/>
      <c r="R1125" s="7"/>
    </row>
    <row r="1126" spans="1:18" ht="76.5" x14ac:dyDescent="0.25">
      <c r="A1126" s="3" t="s">
        <v>18</v>
      </c>
      <c r="B1126" s="3">
        <v>2013</v>
      </c>
      <c r="C1126" s="3" t="s">
        <v>2058</v>
      </c>
      <c r="D1126" s="3" t="str">
        <f>"29 / 2013"</f>
        <v>29 / 2013</v>
      </c>
      <c r="E1126" s="4">
        <v>41313</v>
      </c>
      <c r="F1126" s="3" t="s">
        <v>2496</v>
      </c>
      <c r="G1126" s="5"/>
      <c r="H1126" s="3" t="s">
        <v>2497</v>
      </c>
      <c r="I1126" s="3">
        <v>4</v>
      </c>
      <c r="J1126" s="4">
        <v>41312</v>
      </c>
      <c r="K1126" s="6">
        <v>0.5</v>
      </c>
      <c r="L1126" s="3">
        <v>2</v>
      </c>
      <c r="M1126" s="3" t="s">
        <v>2102</v>
      </c>
      <c r="N1126" s="3" t="s">
        <v>2102</v>
      </c>
      <c r="O1126" s="5"/>
      <c r="P1126" s="3" t="s">
        <v>22</v>
      </c>
      <c r="Q1126" s="7"/>
      <c r="R1126" s="7"/>
    </row>
    <row r="1127" spans="1:18" ht="51" x14ac:dyDescent="0.25">
      <c r="A1127" s="3" t="s">
        <v>18</v>
      </c>
      <c r="B1127" s="3">
        <v>2013</v>
      </c>
      <c r="C1127" s="3" t="s">
        <v>2058</v>
      </c>
      <c r="D1127" s="3" t="str">
        <f>"290 / 2013"</f>
        <v>290 / 2013</v>
      </c>
      <c r="E1127" s="4">
        <v>41428</v>
      </c>
      <c r="F1127" s="3" t="s">
        <v>2498</v>
      </c>
      <c r="G1127" s="5"/>
      <c r="H1127" s="3" t="s">
        <v>2499</v>
      </c>
      <c r="I1127" s="3">
        <v>18</v>
      </c>
      <c r="J1127" s="4">
        <v>41424</v>
      </c>
      <c r="K1127" s="6">
        <v>0.47916666666666669</v>
      </c>
      <c r="L1127" s="3">
        <v>1</v>
      </c>
      <c r="M1127" s="3" t="s">
        <v>2110</v>
      </c>
      <c r="N1127" s="3" t="s">
        <v>2110</v>
      </c>
      <c r="O1127" s="5"/>
      <c r="P1127" s="3" t="s">
        <v>22</v>
      </c>
      <c r="Q1127" s="7"/>
      <c r="R1127" s="7"/>
    </row>
    <row r="1128" spans="1:18" ht="38.25" x14ac:dyDescent="0.25">
      <c r="A1128" s="3" t="s">
        <v>18</v>
      </c>
      <c r="B1128" s="3">
        <v>2013</v>
      </c>
      <c r="C1128" s="3" t="s">
        <v>2058</v>
      </c>
      <c r="D1128" s="3" t="str">
        <f>"291/ 2013"</f>
        <v>291/ 2013</v>
      </c>
      <c r="E1128" s="4">
        <v>41425</v>
      </c>
      <c r="F1128" s="3" t="s">
        <v>2500</v>
      </c>
      <c r="G1128" s="5"/>
      <c r="H1128" s="3" t="s">
        <v>2501</v>
      </c>
      <c r="I1128" s="3">
        <v>18</v>
      </c>
      <c r="J1128" s="4">
        <v>41424</v>
      </c>
      <c r="K1128" s="6">
        <v>0.47916666666666669</v>
      </c>
      <c r="L1128" s="3">
        <v>2</v>
      </c>
      <c r="M1128" s="3" t="s">
        <v>2110</v>
      </c>
      <c r="N1128" s="3" t="s">
        <v>2110</v>
      </c>
      <c r="O1128" s="5"/>
      <c r="P1128" s="3" t="s">
        <v>22</v>
      </c>
      <c r="Q1128" s="7"/>
      <c r="R1128" s="7"/>
    </row>
    <row r="1129" spans="1:18" ht="76.5" x14ac:dyDescent="0.25">
      <c r="A1129" s="3" t="s">
        <v>18</v>
      </c>
      <c r="B1129" s="3">
        <v>2013</v>
      </c>
      <c r="C1129" s="3" t="s">
        <v>2058</v>
      </c>
      <c r="D1129" s="3" t="str">
        <f>"292 / 2013"</f>
        <v>292 / 2013</v>
      </c>
      <c r="E1129" s="4">
        <v>41425</v>
      </c>
      <c r="F1129" s="3" t="s">
        <v>2502</v>
      </c>
      <c r="G1129" s="5"/>
      <c r="H1129" s="3" t="s">
        <v>2503</v>
      </c>
      <c r="I1129" s="3">
        <v>18</v>
      </c>
      <c r="J1129" s="4">
        <v>41424</v>
      </c>
      <c r="K1129" s="6">
        <v>0.47916666666666669</v>
      </c>
      <c r="L1129" s="3">
        <v>3</v>
      </c>
      <c r="M1129" s="3" t="s">
        <v>2504</v>
      </c>
      <c r="N1129" s="3" t="s">
        <v>2504</v>
      </c>
      <c r="O1129" s="5"/>
      <c r="P1129" s="3" t="s">
        <v>22</v>
      </c>
      <c r="Q1129" s="7"/>
      <c r="R1129" s="7"/>
    </row>
    <row r="1130" spans="1:18" ht="76.5" x14ac:dyDescent="0.25">
      <c r="A1130" s="3" t="s">
        <v>18</v>
      </c>
      <c r="B1130" s="3">
        <v>2013</v>
      </c>
      <c r="C1130" s="3" t="s">
        <v>2058</v>
      </c>
      <c r="D1130" s="3" t="str">
        <f>"293 / 2013"</f>
        <v>293 / 2013</v>
      </c>
      <c r="E1130" s="4">
        <v>41428</v>
      </c>
      <c r="F1130" s="3" t="s">
        <v>2505</v>
      </c>
      <c r="G1130" s="5"/>
      <c r="H1130" s="3" t="s">
        <v>2506</v>
      </c>
      <c r="I1130" s="3">
        <v>18</v>
      </c>
      <c r="J1130" s="4">
        <v>41424</v>
      </c>
      <c r="K1130" s="6">
        <v>0.47916666666666669</v>
      </c>
      <c r="L1130" s="3">
        <v>4</v>
      </c>
      <c r="M1130" s="3" t="s">
        <v>2507</v>
      </c>
      <c r="N1130" s="3" t="s">
        <v>2507</v>
      </c>
      <c r="O1130" s="5"/>
      <c r="P1130" s="3" t="s">
        <v>22</v>
      </c>
      <c r="Q1130" s="7"/>
      <c r="R1130" s="7"/>
    </row>
    <row r="1131" spans="1:18" ht="63.75" x14ac:dyDescent="0.25">
      <c r="A1131" s="3" t="s">
        <v>18</v>
      </c>
      <c r="B1131" s="3">
        <v>2013</v>
      </c>
      <c r="C1131" s="3" t="s">
        <v>2058</v>
      </c>
      <c r="D1131" s="3" t="str">
        <f>"295 / 2013"</f>
        <v>295 / 2013</v>
      </c>
      <c r="E1131" s="4">
        <v>41428</v>
      </c>
      <c r="F1131" s="3" t="s">
        <v>2508</v>
      </c>
      <c r="G1131" s="5"/>
      <c r="H1131" s="3" t="s">
        <v>2509</v>
      </c>
      <c r="I1131" s="3">
        <v>18</v>
      </c>
      <c r="J1131" s="4">
        <v>41424</v>
      </c>
      <c r="K1131" s="6">
        <v>0.47916666666666669</v>
      </c>
      <c r="L1131" s="3">
        <v>6</v>
      </c>
      <c r="M1131" s="3" t="s">
        <v>2510</v>
      </c>
      <c r="N1131" s="3" t="s">
        <v>2510</v>
      </c>
      <c r="O1131" s="5"/>
      <c r="P1131" s="3" t="s">
        <v>22</v>
      </c>
      <c r="Q1131" s="7"/>
      <c r="R1131" s="7"/>
    </row>
    <row r="1132" spans="1:18" ht="51" x14ac:dyDescent="0.25">
      <c r="A1132" s="3" t="s">
        <v>18</v>
      </c>
      <c r="B1132" s="3">
        <v>2013</v>
      </c>
      <c r="C1132" s="3" t="s">
        <v>2058</v>
      </c>
      <c r="D1132" s="3" t="str">
        <f>"296 / 2013"</f>
        <v>296 / 2013</v>
      </c>
      <c r="E1132" s="4">
        <v>41428</v>
      </c>
      <c r="F1132" s="3" t="s">
        <v>2511</v>
      </c>
      <c r="G1132" s="5"/>
      <c r="H1132" s="3" t="s">
        <v>2512</v>
      </c>
      <c r="I1132" s="3">
        <v>18</v>
      </c>
      <c r="J1132" s="4">
        <v>41424</v>
      </c>
      <c r="K1132" s="6">
        <v>0.47916666666666669</v>
      </c>
      <c r="L1132" s="3">
        <v>7</v>
      </c>
      <c r="M1132" s="3" t="s">
        <v>2110</v>
      </c>
      <c r="N1132" s="3" t="s">
        <v>2110</v>
      </c>
      <c r="O1132" s="5"/>
      <c r="P1132" s="3" t="s">
        <v>22</v>
      </c>
      <c r="Q1132" s="7"/>
      <c r="R1132" s="7"/>
    </row>
    <row r="1133" spans="1:18" ht="63.75" x14ac:dyDescent="0.25">
      <c r="A1133" s="3" t="s">
        <v>18</v>
      </c>
      <c r="B1133" s="3">
        <v>2013</v>
      </c>
      <c r="C1133" s="3" t="s">
        <v>2058</v>
      </c>
      <c r="D1133" s="3" t="str">
        <f>"297 / 2013"</f>
        <v>297 / 2013</v>
      </c>
      <c r="E1133" s="4">
        <v>41425</v>
      </c>
      <c r="F1133" s="3" t="s">
        <v>2513</v>
      </c>
      <c r="G1133" s="5"/>
      <c r="H1133" s="3" t="s">
        <v>2514</v>
      </c>
      <c r="I1133" s="3">
        <v>18</v>
      </c>
      <c r="J1133" s="4">
        <v>41424</v>
      </c>
      <c r="K1133" s="6">
        <v>0.47916666666666669</v>
      </c>
      <c r="L1133" s="3">
        <v>8</v>
      </c>
      <c r="M1133" s="3" t="s">
        <v>2256</v>
      </c>
      <c r="N1133" s="3" t="s">
        <v>2256</v>
      </c>
      <c r="O1133" s="5"/>
      <c r="P1133" s="3" t="s">
        <v>22</v>
      </c>
      <c r="Q1133" s="7"/>
      <c r="R1133" s="7"/>
    </row>
    <row r="1134" spans="1:18" ht="51" x14ac:dyDescent="0.25">
      <c r="A1134" s="3" t="s">
        <v>18</v>
      </c>
      <c r="B1134" s="3">
        <v>2013</v>
      </c>
      <c r="C1134" s="3" t="s">
        <v>2058</v>
      </c>
      <c r="D1134" s="3" t="str">
        <f>"298 / 2013"</f>
        <v>298 / 2013</v>
      </c>
      <c r="E1134" s="4">
        <v>41428</v>
      </c>
      <c r="F1134" s="3" t="s">
        <v>2515</v>
      </c>
      <c r="G1134" s="5"/>
      <c r="H1134" s="3" t="s">
        <v>2516</v>
      </c>
      <c r="I1134" s="3">
        <v>18</v>
      </c>
      <c r="J1134" s="4">
        <v>41424</v>
      </c>
      <c r="K1134" s="6">
        <v>0.47916666666666669</v>
      </c>
      <c r="L1134" s="5"/>
      <c r="M1134" s="3" t="s">
        <v>2061</v>
      </c>
      <c r="N1134" s="3" t="s">
        <v>2061</v>
      </c>
      <c r="O1134" s="5"/>
      <c r="P1134" s="3" t="s">
        <v>74</v>
      </c>
      <c r="Q1134" s="7"/>
      <c r="R1134" s="7"/>
    </row>
    <row r="1135" spans="1:18" ht="63.75" x14ac:dyDescent="0.25">
      <c r="A1135" s="3" t="s">
        <v>18</v>
      </c>
      <c r="B1135" s="3">
        <v>2013</v>
      </c>
      <c r="C1135" s="3" t="s">
        <v>2058</v>
      </c>
      <c r="D1135" s="3" t="str">
        <f>"299 / 2013"</f>
        <v>299 / 2013</v>
      </c>
      <c r="E1135" s="4">
        <v>41431</v>
      </c>
      <c r="F1135" s="3" t="s">
        <v>2517</v>
      </c>
      <c r="G1135" s="5"/>
      <c r="H1135" s="3" t="s">
        <v>2518</v>
      </c>
      <c r="I1135" s="3">
        <v>18</v>
      </c>
      <c r="J1135" s="4">
        <v>41424</v>
      </c>
      <c r="K1135" s="6">
        <v>0.47916666666666669</v>
      </c>
      <c r="L1135" s="5"/>
      <c r="M1135" s="3" t="s">
        <v>2519</v>
      </c>
      <c r="N1135" s="3" t="s">
        <v>2519</v>
      </c>
      <c r="O1135" s="5"/>
      <c r="P1135" s="3" t="s">
        <v>74</v>
      </c>
      <c r="Q1135" s="7"/>
      <c r="R1135" s="7"/>
    </row>
    <row r="1136" spans="1:18" ht="89.25" x14ac:dyDescent="0.25">
      <c r="A1136" s="3" t="s">
        <v>18</v>
      </c>
      <c r="B1136" s="3">
        <v>2013</v>
      </c>
      <c r="C1136" s="3" t="s">
        <v>2058</v>
      </c>
      <c r="D1136" s="3" t="str">
        <f>"3 / 2013"</f>
        <v>3 / 2013</v>
      </c>
      <c r="E1136" s="4">
        <v>41298</v>
      </c>
      <c r="F1136" s="3" t="s">
        <v>2520</v>
      </c>
      <c r="G1136" s="5"/>
      <c r="H1136" s="3" t="s">
        <v>2521</v>
      </c>
      <c r="I1136" s="3">
        <v>1</v>
      </c>
      <c r="J1136" s="4">
        <v>41295</v>
      </c>
      <c r="K1136" s="6">
        <v>0.5</v>
      </c>
      <c r="L1136" s="3">
        <v>3</v>
      </c>
      <c r="M1136" s="3" t="s">
        <v>2069</v>
      </c>
      <c r="N1136" s="3" t="s">
        <v>2069</v>
      </c>
      <c r="O1136" s="5"/>
      <c r="P1136" s="3" t="s">
        <v>22</v>
      </c>
      <c r="Q1136" s="7"/>
      <c r="R1136" s="7"/>
    </row>
    <row r="1137" spans="1:18" ht="76.5" x14ac:dyDescent="0.25">
      <c r="A1137" s="3" t="s">
        <v>18</v>
      </c>
      <c r="B1137" s="3">
        <v>2013</v>
      </c>
      <c r="C1137" s="3" t="s">
        <v>2058</v>
      </c>
      <c r="D1137" s="3" t="str">
        <f>"30 / 2013"</f>
        <v>30 / 2013</v>
      </c>
      <c r="E1137" s="4">
        <v>41317</v>
      </c>
      <c r="F1137" s="3" t="s">
        <v>2522</v>
      </c>
      <c r="G1137" s="5"/>
      <c r="H1137" s="3" t="s">
        <v>2523</v>
      </c>
      <c r="I1137" s="3">
        <v>4</v>
      </c>
      <c r="J1137" s="4">
        <v>41312</v>
      </c>
      <c r="K1137" s="6">
        <v>0.5</v>
      </c>
      <c r="L1137" s="3">
        <v>3</v>
      </c>
      <c r="M1137" s="3" t="s">
        <v>2102</v>
      </c>
      <c r="N1137" s="3" t="s">
        <v>2102</v>
      </c>
      <c r="O1137" s="5"/>
      <c r="P1137" s="3" t="s">
        <v>22</v>
      </c>
      <c r="Q1137" s="7"/>
      <c r="R1137" s="7"/>
    </row>
    <row r="1138" spans="1:18" ht="63.75" x14ac:dyDescent="0.25">
      <c r="A1138" s="3" t="s">
        <v>18</v>
      </c>
      <c r="B1138" s="3">
        <v>2013</v>
      </c>
      <c r="C1138" s="3" t="s">
        <v>2058</v>
      </c>
      <c r="D1138" s="3" t="str">
        <f>"300 / 2013"</f>
        <v>300 / 2013</v>
      </c>
      <c r="E1138" s="4">
        <v>41435</v>
      </c>
      <c r="F1138" s="3" t="s">
        <v>2524</v>
      </c>
      <c r="G1138" s="5"/>
      <c r="H1138" s="3" t="s">
        <v>2525</v>
      </c>
      <c r="I1138" s="3">
        <v>19</v>
      </c>
      <c r="J1138" s="4">
        <v>41432</v>
      </c>
      <c r="K1138" s="6">
        <v>0.47916666666666669</v>
      </c>
      <c r="L1138" s="3">
        <v>1</v>
      </c>
      <c r="M1138" s="3" t="s">
        <v>2526</v>
      </c>
      <c r="N1138" s="3" t="s">
        <v>2526</v>
      </c>
      <c r="O1138" s="5"/>
      <c r="P1138" s="3" t="s">
        <v>22</v>
      </c>
      <c r="Q1138" s="7"/>
      <c r="R1138" s="7"/>
    </row>
    <row r="1139" spans="1:18" ht="63.75" x14ac:dyDescent="0.25">
      <c r="A1139" s="3" t="s">
        <v>18</v>
      </c>
      <c r="B1139" s="3">
        <v>2013</v>
      </c>
      <c r="C1139" s="3" t="s">
        <v>2058</v>
      </c>
      <c r="D1139" s="3" t="str">
        <f>"301 / 2013"</f>
        <v>301 / 2013</v>
      </c>
      <c r="E1139" s="4">
        <v>41436</v>
      </c>
      <c r="F1139" s="4">
        <v>41436</v>
      </c>
      <c r="G1139" s="5"/>
      <c r="H1139" s="3" t="s">
        <v>2527</v>
      </c>
      <c r="I1139" s="3">
        <v>19</v>
      </c>
      <c r="J1139" s="4">
        <v>41432</v>
      </c>
      <c r="K1139" s="6">
        <v>0.47916666666666669</v>
      </c>
      <c r="L1139" s="3">
        <v>2</v>
      </c>
      <c r="M1139" s="3" t="s">
        <v>2268</v>
      </c>
      <c r="N1139" s="3" t="s">
        <v>2268</v>
      </c>
      <c r="O1139" s="5"/>
      <c r="P1139" s="3" t="s">
        <v>22</v>
      </c>
      <c r="Q1139" s="7"/>
      <c r="R1139" s="7"/>
    </row>
    <row r="1140" spans="1:18" ht="89.25" x14ac:dyDescent="0.25">
      <c r="A1140" s="3" t="s">
        <v>18</v>
      </c>
      <c r="B1140" s="3">
        <v>2013</v>
      </c>
      <c r="C1140" s="3" t="s">
        <v>2058</v>
      </c>
      <c r="D1140" s="3" t="str">
        <f>"302 / 2013"</f>
        <v>302 / 2013</v>
      </c>
      <c r="E1140" s="4">
        <v>41437</v>
      </c>
      <c r="F1140" s="3" t="s">
        <v>2528</v>
      </c>
      <c r="G1140" s="5"/>
      <c r="H1140" s="3" t="s">
        <v>2529</v>
      </c>
      <c r="I1140" s="3">
        <v>19</v>
      </c>
      <c r="J1140" s="4">
        <v>41432</v>
      </c>
      <c r="K1140" s="6">
        <v>0.47916666666666669</v>
      </c>
      <c r="L1140" s="3">
        <v>3</v>
      </c>
      <c r="M1140" s="3" t="s">
        <v>2530</v>
      </c>
      <c r="N1140" s="3" t="s">
        <v>2058</v>
      </c>
      <c r="O1140" s="5"/>
      <c r="P1140" s="3" t="s">
        <v>22</v>
      </c>
      <c r="Q1140" s="7"/>
      <c r="R1140" s="7"/>
    </row>
    <row r="1141" spans="1:18" ht="51" x14ac:dyDescent="0.25">
      <c r="A1141" s="3" t="s">
        <v>18</v>
      </c>
      <c r="B1141" s="3">
        <v>2013</v>
      </c>
      <c r="C1141" s="3" t="s">
        <v>2058</v>
      </c>
      <c r="D1141" s="3" t="str">
        <f>"303 / 2013"</f>
        <v>303 / 2013</v>
      </c>
      <c r="E1141" s="4">
        <v>41435</v>
      </c>
      <c r="F1141" s="3" t="s">
        <v>2531</v>
      </c>
      <c r="G1141" s="5"/>
      <c r="H1141" s="3" t="s">
        <v>2532</v>
      </c>
      <c r="I1141" s="3">
        <v>19</v>
      </c>
      <c r="J1141" s="4">
        <v>41432</v>
      </c>
      <c r="K1141" s="6">
        <v>0.47916666666666669</v>
      </c>
      <c r="L1141" s="3">
        <v>4</v>
      </c>
      <c r="M1141" s="3" t="s">
        <v>2099</v>
      </c>
      <c r="N1141" s="3" t="s">
        <v>2099</v>
      </c>
      <c r="O1141" s="5"/>
      <c r="P1141" s="3" t="s">
        <v>22</v>
      </c>
      <c r="Q1141" s="7"/>
      <c r="R1141" s="7"/>
    </row>
    <row r="1142" spans="1:18" ht="51" x14ac:dyDescent="0.25">
      <c r="A1142" s="3" t="s">
        <v>18</v>
      </c>
      <c r="B1142" s="3">
        <v>2013</v>
      </c>
      <c r="C1142" s="3" t="s">
        <v>2058</v>
      </c>
      <c r="D1142" s="3" t="str">
        <f>"304/ 2013"</f>
        <v>304/ 2013</v>
      </c>
      <c r="E1142" s="4">
        <v>41435</v>
      </c>
      <c r="F1142" s="3" t="s">
        <v>2533</v>
      </c>
      <c r="G1142" s="5"/>
      <c r="H1142" s="3" t="s">
        <v>2534</v>
      </c>
      <c r="I1142" s="3">
        <v>19</v>
      </c>
      <c r="J1142" s="4">
        <v>41432</v>
      </c>
      <c r="K1142" s="6">
        <v>0.47916666666666669</v>
      </c>
      <c r="L1142" s="3">
        <v>5</v>
      </c>
      <c r="M1142" s="3" t="s">
        <v>2535</v>
      </c>
      <c r="N1142" s="3" t="s">
        <v>2535</v>
      </c>
      <c r="O1142" s="5"/>
      <c r="P1142" s="3" t="s">
        <v>22</v>
      </c>
      <c r="Q1142" s="7"/>
      <c r="R1142" s="7"/>
    </row>
    <row r="1143" spans="1:18" ht="178.5" x14ac:dyDescent="0.25">
      <c r="A1143" s="3" t="s">
        <v>18</v>
      </c>
      <c r="B1143" s="3">
        <v>2013</v>
      </c>
      <c r="C1143" s="3" t="s">
        <v>2058</v>
      </c>
      <c r="D1143" s="3" t="str">
        <f>"305 / 2013"</f>
        <v>305 / 2013</v>
      </c>
      <c r="E1143" s="4">
        <v>41437</v>
      </c>
      <c r="F1143" s="3" t="s">
        <v>2536</v>
      </c>
      <c r="G1143" s="5"/>
      <c r="H1143" s="3" t="s">
        <v>2537</v>
      </c>
      <c r="I1143" s="3">
        <v>19</v>
      </c>
      <c r="J1143" s="4">
        <v>41432</v>
      </c>
      <c r="K1143" s="6">
        <v>0.47916666666666669</v>
      </c>
      <c r="L1143" s="3">
        <v>6</v>
      </c>
      <c r="M1143" s="3" t="s">
        <v>2110</v>
      </c>
      <c r="N1143" s="3" t="s">
        <v>2110</v>
      </c>
      <c r="O1143" s="5"/>
      <c r="P1143" s="3" t="s">
        <v>22</v>
      </c>
      <c r="Q1143" s="7"/>
      <c r="R1143" s="7"/>
    </row>
    <row r="1144" spans="1:18" ht="63.75" x14ac:dyDescent="0.25">
      <c r="A1144" s="3" t="s">
        <v>18</v>
      </c>
      <c r="B1144" s="3">
        <v>2013</v>
      </c>
      <c r="C1144" s="3" t="s">
        <v>2058</v>
      </c>
      <c r="D1144" s="3" t="str">
        <f>"306 / 2013"</f>
        <v>306 / 2013</v>
      </c>
      <c r="E1144" s="4">
        <v>41435</v>
      </c>
      <c r="F1144" s="3" t="s">
        <v>2538</v>
      </c>
      <c r="G1144" s="5"/>
      <c r="H1144" s="3" t="s">
        <v>2539</v>
      </c>
      <c r="I1144" s="3">
        <v>19</v>
      </c>
      <c r="J1144" s="4">
        <v>41432</v>
      </c>
      <c r="K1144" s="6">
        <v>0.47916666666666669</v>
      </c>
      <c r="L1144" s="3">
        <v>7</v>
      </c>
      <c r="M1144" s="3" t="s">
        <v>2150</v>
      </c>
      <c r="N1144" s="3" t="s">
        <v>2150</v>
      </c>
      <c r="O1144" s="5"/>
      <c r="P1144" s="3" t="s">
        <v>22</v>
      </c>
      <c r="Q1144" s="7"/>
      <c r="R1144" s="7"/>
    </row>
    <row r="1145" spans="1:18" ht="140.25" x14ac:dyDescent="0.25">
      <c r="A1145" s="3" t="s">
        <v>18</v>
      </c>
      <c r="B1145" s="3">
        <v>2013</v>
      </c>
      <c r="C1145" s="3" t="s">
        <v>2058</v>
      </c>
      <c r="D1145" s="3" t="str">
        <f>"307 / 2013"</f>
        <v>307 / 2013</v>
      </c>
      <c r="E1145" s="4">
        <v>41436</v>
      </c>
      <c r="F1145" s="3" t="s">
        <v>2540</v>
      </c>
      <c r="G1145" s="5"/>
      <c r="H1145" s="3" t="s">
        <v>2541</v>
      </c>
      <c r="I1145" s="3">
        <v>19</v>
      </c>
      <c r="J1145" s="4">
        <v>41432</v>
      </c>
      <c r="K1145" s="6">
        <v>0.47916666666666669</v>
      </c>
      <c r="L1145" s="3">
        <v>8</v>
      </c>
      <c r="M1145" s="3" t="s">
        <v>2110</v>
      </c>
      <c r="N1145" s="3" t="s">
        <v>2110</v>
      </c>
      <c r="O1145" s="5"/>
      <c r="P1145" s="3" t="s">
        <v>22</v>
      </c>
      <c r="Q1145" s="7"/>
      <c r="R1145" s="7"/>
    </row>
    <row r="1146" spans="1:18" ht="114.75" x14ac:dyDescent="0.25">
      <c r="A1146" s="3" t="s">
        <v>18</v>
      </c>
      <c r="B1146" s="3">
        <v>2013</v>
      </c>
      <c r="C1146" s="3" t="s">
        <v>2058</v>
      </c>
      <c r="D1146" s="3" t="str">
        <f>"308 / 2013"</f>
        <v>308 / 2013</v>
      </c>
      <c r="E1146" s="4">
        <v>41436</v>
      </c>
      <c r="F1146" s="3" t="s">
        <v>2542</v>
      </c>
      <c r="G1146" s="5"/>
      <c r="H1146" s="3" t="s">
        <v>2543</v>
      </c>
      <c r="I1146" s="3">
        <v>19</v>
      </c>
      <c r="J1146" s="4">
        <v>41432</v>
      </c>
      <c r="K1146" s="6">
        <v>0.47916666666666669</v>
      </c>
      <c r="L1146" s="5"/>
      <c r="M1146" s="3" t="s">
        <v>2544</v>
      </c>
      <c r="N1146" s="3" t="s">
        <v>2544</v>
      </c>
      <c r="O1146" s="5"/>
      <c r="P1146" s="3" t="s">
        <v>74</v>
      </c>
      <c r="Q1146" s="7"/>
      <c r="R1146" s="7"/>
    </row>
    <row r="1147" spans="1:18" ht="76.5" x14ac:dyDescent="0.25">
      <c r="A1147" s="3" t="s">
        <v>18</v>
      </c>
      <c r="B1147" s="3">
        <v>2013</v>
      </c>
      <c r="C1147" s="3" t="s">
        <v>2058</v>
      </c>
      <c r="D1147" s="3" t="str">
        <f>"309 / 2013"</f>
        <v>309 / 2013</v>
      </c>
      <c r="E1147" s="4">
        <v>41438</v>
      </c>
      <c r="F1147" s="3" t="s">
        <v>2545</v>
      </c>
      <c r="G1147" s="5"/>
      <c r="H1147" s="3" t="s">
        <v>2546</v>
      </c>
      <c r="I1147" s="3">
        <v>19</v>
      </c>
      <c r="J1147" s="4">
        <v>41432</v>
      </c>
      <c r="K1147" s="6">
        <v>0.47916666666666669</v>
      </c>
      <c r="L1147" s="5"/>
      <c r="M1147" s="3" t="s">
        <v>2110</v>
      </c>
      <c r="N1147" s="3" t="s">
        <v>2110</v>
      </c>
      <c r="O1147" s="5"/>
      <c r="P1147" s="3" t="s">
        <v>74</v>
      </c>
      <c r="Q1147" s="7"/>
      <c r="R1147" s="7"/>
    </row>
    <row r="1148" spans="1:18" ht="102" x14ac:dyDescent="0.25">
      <c r="A1148" s="3" t="s">
        <v>18</v>
      </c>
      <c r="B1148" s="3">
        <v>2013</v>
      </c>
      <c r="C1148" s="3" t="s">
        <v>2058</v>
      </c>
      <c r="D1148" s="3" t="str">
        <f>"31 / 2013"</f>
        <v>31 / 2013</v>
      </c>
      <c r="E1148" s="4">
        <v>41317</v>
      </c>
      <c r="F1148" s="3" t="s">
        <v>2547</v>
      </c>
      <c r="G1148" s="5"/>
      <c r="H1148" s="3" t="s">
        <v>2548</v>
      </c>
      <c r="I1148" s="3">
        <v>4</v>
      </c>
      <c r="J1148" s="4">
        <v>41312</v>
      </c>
      <c r="K1148" s="6">
        <v>0.5</v>
      </c>
      <c r="L1148" s="3">
        <v>4</v>
      </c>
      <c r="M1148" s="3" t="s">
        <v>2549</v>
      </c>
      <c r="N1148" s="3" t="s">
        <v>2549</v>
      </c>
      <c r="O1148" s="5"/>
      <c r="P1148" s="3" t="s">
        <v>22</v>
      </c>
      <c r="Q1148" s="7"/>
      <c r="R1148" s="7"/>
    </row>
    <row r="1149" spans="1:18" ht="76.5" x14ac:dyDescent="0.25">
      <c r="A1149" s="3" t="s">
        <v>18</v>
      </c>
      <c r="B1149" s="3">
        <v>2013</v>
      </c>
      <c r="C1149" s="3" t="s">
        <v>2058</v>
      </c>
      <c r="D1149" s="3" t="str">
        <f>"310 / 2013"</f>
        <v>310 / 2013</v>
      </c>
      <c r="E1149" s="4">
        <v>41443</v>
      </c>
      <c r="F1149" s="3" t="s">
        <v>2550</v>
      </c>
      <c r="G1149" s="5"/>
      <c r="H1149" s="3" t="s">
        <v>2551</v>
      </c>
      <c r="I1149" s="3">
        <v>20</v>
      </c>
      <c r="J1149" s="4">
        <v>41443</v>
      </c>
      <c r="K1149" s="6">
        <v>0.47916666666666669</v>
      </c>
      <c r="L1149" s="3">
        <v>1</v>
      </c>
      <c r="M1149" s="3" t="s">
        <v>2110</v>
      </c>
      <c r="N1149" s="3" t="s">
        <v>2110</v>
      </c>
      <c r="O1149" s="5"/>
      <c r="P1149" s="3" t="s">
        <v>22</v>
      </c>
      <c r="Q1149" s="7"/>
      <c r="R1149" s="7"/>
    </row>
    <row r="1150" spans="1:18" ht="63.75" x14ac:dyDescent="0.25">
      <c r="A1150" s="3" t="s">
        <v>18</v>
      </c>
      <c r="B1150" s="3">
        <v>2013</v>
      </c>
      <c r="C1150" s="3" t="s">
        <v>2058</v>
      </c>
      <c r="D1150" s="3" t="str">
        <f>"311 / 2013"</f>
        <v>311 / 2013</v>
      </c>
      <c r="E1150" s="4">
        <v>41464</v>
      </c>
      <c r="F1150" s="3" t="s">
        <v>2552</v>
      </c>
      <c r="G1150" s="5"/>
      <c r="H1150" s="3" t="s">
        <v>2553</v>
      </c>
      <c r="I1150" s="3">
        <v>20</v>
      </c>
      <c r="J1150" s="4">
        <v>41443</v>
      </c>
      <c r="K1150" s="6">
        <v>0.47916666666666669</v>
      </c>
      <c r="L1150" s="3">
        <v>2</v>
      </c>
      <c r="M1150" s="3" t="s">
        <v>2554</v>
      </c>
      <c r="N1150" s="3" t="s">
        <v>2554</v>
      </c>
      <c r="O1150" s="5"/>
      <c r="P1150" s="3" t="s">
        <v>22</v>
      </c>
      <c r="Q1150" s="7"/>
      <c r="R1150" s="7"/>
    </row>
    <row r="1151" spans="1:18" ht="127.5" x14ac:dyDescent="0.25">
      <c r="A1151" s="3" t="s">
        <v>18</v>
      </c>
      <c r="B1151" s="3">
        <v>2013</v>
      </c>
      <c r="C1151" s="3" t="s">
        <v>2058</v>
      </c>
      <c r="D1151" s="3" t="str">
        <f>"312/ 2013"</f>
        <v>312/ 2013</v>
      </c>
      <c r="E1151" s="4">
        <v>41445</v>
      </c>
      <c r="F1151" s="3" t="s">
        <v>2555</v>
      </c>
      <c r="G1151" s="5"/>
      <c r="H1151" s="3" t="s">
        <v>2556</v>
      </c>
      <c r="I1151" s="3">
        <v>20</v>
      </c>
      <c r="J1151" s="4">
        <v>41443</v>
      </c>
      <c r="K1151" s="6">
        <v>0.47916666666666669</v>
      </c>
      <c r="L1151" s="3">
        <v>3</v>
      </c>
      <c r="M1151" s="3" t="s">
        <v>2088</v>
      </c>
      <c r="N1151" s="3" t="s">
        <v>2088</v>
      </c>
      <c r="O1151" s="5"/>
      <c r="P1151" s="3" t="s">
        <v>22</v>
      </c>
      <c r="Q1151" s="7"/>
      <c r="R1151" s="7"/>
    </row>
    <row r="1152" spans="1:18" ht="76.5" x14ac:dyDescent="0.25">
      <c r="A1152" s="3" t="s">
        <v>18</v>
      </c>
      <c r="B1152" s="3">
        <v>2013</v>
      </c>
      <c r="C1152" s="3" t="s">
        <v>2058</v>
      </c>
      <c r="D1152" s="3" t="str">
        <f>"313 / 2013"</f>
        <v>313 / 2013</v>
      </c>
      <c r="E1152" s="4">
        <v>41445</v>
      </c>
      <c r="F1152" s="3" t="s">
        <v>2557</v>
      </c>
      <c r="G1152" s="5"/>
      <c r="H1152" s="3" t="s">
        <v>2558</v>
      </c>
      <c r="I1152" s="3">
        <v>20</v>
      </c>
      <c r="J1152" s="4">
        <v>41443</v>
      </c>
      <c r="K1152" s="6">
        <v>0.47916666666666669</v>
      </c>
      <c r="L1152" s="3">
        <v>4</v>
      </c>
      <c r="M1152" s="3" t="s">
        <v>2110</v>
      </c>
      <c r="N1152" s="3" t="s">
        <v>2110</v>
      </c>
      <c r="O1152" s="5"/>
      <c r="P1152" s="3" t="s">
        <v>22</v>
      </c>
      <c r="Q1152" s="7"/>
      <c r="R1152" s="7"/>
    </row>
    <row r="1153" spans="1:18" ht="102" x14ac:dyDescent="0.25">
      <c r="A1153" s="3" t="s">
        <v>18</v>
      </c>
      <c r="B1153" s="3">
        <v>2013</v>
      </c>
      <c r="C1153" s="3" t="s">
        <v>2058</v>
      </c>
      <c r="D1153" s="3" t="str">
        <f>"314 / 2013"</f>
        <v>314 / 2013</v>
      </c>
      <c r="E1153" s="4">
        <v>41463</v>
      </c>
      <c r="F1153" s="3" t="s">
        <v>2559</v>
      </c>
      <c r="G1153" s="5"/>
      <c r="H1153" s="3" t="s">
        <v>2560</v>
      </c>
      <c r="I1153" s="3">
        <v>20</v>
      </c>
      <c r="J1153" s="4">
        <v>41443</v>
      </c>
      <c r="K1153" s="6">
        <v>0.47916666666666669</v>
      </c>
      <c r="L1153" s="3">
        <v>5</v>
      </c>
      <c r="M1153" s="3" t="s">
        <v>2561</v>
      </c>
      <c r="N1153" s="3" t="s">
        <v>2561</v>
      </c>
      <c r="O1153" s="5"/>
      <c r="P1153" s="3" t="s">
        <v>22</v>
      </c>
      <c r="Q1153" s="7"/>
      <c r="R1153" s="7"/>
    </row>
    <row r="1154" spans="1:18" ht="102" x14ac:dyDescent="0.25">
      <c r="A1154" s="3" t="s">
        <v>18</v>
      </c>
      <c r="B1154" s="3">
        <v>2013</v>
      </c>
      <c r="C1154" s="3" t="s">
        <v>2058</v>
      </c>
      <c r="D1154" s="3" t="str">
        <f>"315 / 2013"</f>
        <v>315 / 2013</v>
      </c>
      <c r="E1154" s="4">
        <v>41465</v>
      </c>
      <c r="F1154" s="3" t="s">
        <v>2562</v>
      </c>
      <c r="G1154" s="5"/>
      <c r="H1154" s="3" t="s">
        <v>2563</v>
      </c>
      <c r="I1154" s="3">
        <v>20</v>
      </c>
      <c r="J1154" s="4">
        <v>41443</v>
      </c>
      <c r="K1154" s="6">
        <v>0.47916666666666669</v>
      </c>
      <c r="L1154" s="3">
        <v>6</v>
      </c>
      <c r="M1154" s="3" t="s">
        <v>2564</v>
      </c>
      <c r="N1154" s="3" t="s">
        <v>2564</v>
      </c>
      <c r="O1154" s="5"/>
      <c r="P1154" s="3" t="s">
        <v>22</v>
      </c>
      <c r="Q1154" s="7"/>
      <c r="R1154" s="7"/>
    </row>
    <row r="1155" spans="1:18" ht="153" x14ac:dyDescent="0.25">
      <c r="A1155" s="3" t="s">
        <v>18</v>
      </c>
      <c r="B1155" s="3">
        <v>2013</v>
      </c>
      <c r="C1155" s="3" t="s">
        <v>2058</v>
      </c>
      <c r="D1155" s="3" t="str">
        <f>"316 / 2013"</f>
        <v>316 / 2013</v>
      </c>
      <c r="E1155" s="4">
        <v>41466</v>
      </c>
      <c r="F1155" s="3" t="s">
        <v>2565</v>
      </c>
      <c r="G1155" s="5"/>
      <c r="H1155" s="3" t="s">
        <v>2566</v>
      </c>
      <c r="I1155" s="3">
        <v>20</v>
      </c>
      <c r="J1155" s="4">
        <v>41443</v>
      </c>
      <c r="K1155" s="6">
        <v>0.47916666666666669</v>
      </c>
      <c r="L1155" s="3">
        <v>7</v>
      </c>
      <c r="M1155" s="3" t="s">
        <v>2564</v>
      </c>
      <c r="N1155" s="3" t="s">
        <v>2564</v>
      </c>
      <c r="O1155" s="5"/>
      <c r="P1155" s="3" t="s">
        <v>22</v>
      </c>
      <c r="Q1155" s="7"/>
      <c r="R1155" s="7"/>
    </row>
    <row r="1156" spans="1:18" ht="140.25" x14ac:dyDescent="0.25">
      <c r="A1156" s="3" t="s">
        <v>18</v>
      </c>
      <c r="B1156" s="3">
        <v>2013</v>
      </c>
      <c r="C1156" s="3" t="s">
        <v>2058</v>
      </c>
      <c r="D1156" s="3" t="str">
        <f>"317 / 2013"</f>
        <v>317 / 2013</v>
      </c>
      <c r="E1156" s="4">
        <v>41466</v>
      </c>
      <c r="F1156" s="3" t="s">
        <v>2567</v>
      </c>
      <c r="G1156" s="5"/>
      <c r="H1156" s="3" t="s">
        <v>2568</v>
      </c>
      <c r="I1156" s="3">
        <v>20</v>
      </c>
      <c r="J1156" s="4">
        <v>41443</v>
      </c>
      <c r="K1156" s="6">
        <v>0.47916666666666669</v>
      </c>
      <c r="L1156" s="3">
        <v>8</v>
      </c>
      <c r="M1156" s="3" t="s">
        <v>2564</v>
      </c>
      <c r="N1156" s="3" t="s">
        <v>2564</v>
      </c>
      <c r="O1156" s="5"/>
      <c r="P1156" s="3" t="s">
        <v>22</v>
      </c>
      <c r="Q1156" s="7"/>
      <c r="R1156" s="7"/>
    </row>
    <row r="1157" spans="1:18" ht="140.25" x14ac:dyDescent="0.25">
      <c r="A1157" s="3" t="s">
        <v>18</v>
      </c>
      <c r="B1157" s="3">
        <v>2013</v>
      </c>
      <c r="C1157" s="3" t="s">
        <v>2058</v>
      </c>
      <c r="D1157" s="3" t="str">
        <f>"318 / 2013"</f>
        <v>318 / 2013</v>
      </c>
      <c r="E1157" s="4">
        <v>41466</v>
      </c>
      <c r="F1157" s="3" t="s">
        <v>2569</v>
      </c>
      <c r="G1157" s="5"/>
      <c r="H1157" s="3" t="s">
        <v>2570</v>
      </c>
      <c r="I1157" s="3">
        <v>20</v>
      </c>
      <c r="J1157" s="4">
        <v>41443</v>
      </c>
      <c r="K1157" s="6">
        <v>0.47916666666666669</v>
      </c>
      <c r="L1157" s="3">
        <v>9</v>
      </c>
      <c r="M1157" s="3" t="s">
        <v>2564</v>
      </c>
      <c r="N1157" s="3" t="s">
        <v>2564</v>
      </c>
      <c r="O1157" s="5"/>
      <c r="P1157" s="3" t="s">
        <v>22</v>
      </c>
      <c r="Q1157" s="7"/>
      <c r="R1157" s="7"/>
    </row>
    <row r="1158" spans="1:18" ht="153" x14ac:dyDescent="0.25">
      <c r="A1158" s="3" t="s">
        <v>18</v>
      </c>
      <c r="B1158" s="3">
        <v>2013</v>
      </c>
      <c r="C1158" s="3" t="s">
        <v>2058</v>
      </c>
      <c r="D1158" s="3" t="str">
        <f>"319 / 2013"</f>
        <v>319 / 2013</v>
      </c>
      <c r="E1158" s="4">
        <v>41466</v>
      </c>
      <c r="F1158" s="3" t="s">
        <v>2571</v>
      </c>
      <c r="G1158" s="5"/>
      <c r="H1158" s="3" t="s">
        <v>2572</v>
      </c>
      <c r="I1158" s="3">
        <v>20</v>
      </c>
      <c r="J1158" s="4">
        <v>41443</v>
      </c>
      <c r="K1158" s="6">
        <v>0.47916666666666669</v>
      </c>
      <c r="L1158" s="3">
        <v>10</v>
      </c>
      <c r="M1158" s="3" t="s">
        <v>2564</v>
      </c>
      <c r="N1158" s="3" t="s">
        <v>2564</v>
      </c>
      <c r="O1158" s="5"/>
      <c r="P1158" s="3" t="s">
        <v>22</v>
      </c>
      <c r="Q1158" s="7"/>
      <c r="R1158" s="7"/>
    </row>
    <row r="1159" spans="1:18" ht="153" x14ac:dyDescent="0.25">
      <c r="A1159" s="3" t="s">
        <v>18</v>
      </c>
      <c r="B1159" s="3">
        <v>2013</v>
      </c>
      <c r="C1159" s="3" t="s">
        <v>2058</v>
      </c>
      <c r="D1159" s="3" t="str">
        <f>"321 / 2013"</f>
        <v>321 / 2013</v>
      </c>
      <c r="E1159" s="4">
        <v>41466</v>
      </c>
      <c r="F1159" s="3" t="s">
        <v>2573</v>
      </c>
      <c r="G1159" s="5"/>
      <c r="H1159" s="3" t="s">
        <v>2574</v>
      </c>
      <c r="I1159" s="3">
        <v>20</v>
      </c>
      <c r="J1159" s="4">
        <v>41443</v>
      </c>
      <c r="K1159" s="6">
        <v>0.47916666666666669</v>
      </c>
      <c r="L1159" s="3">
        <v>12</v>
      </c>
      <c r="M1159" s="3" t="s">
        <v>2564</v>
      </c>
      <c r="N1159" s="3" t="s">
        <v>2564</v>
      </c>
      <c r="O1159" s="5"/>
      <c r="P1159" s="3" t="s">
        <v>22</v>
      </c>
      <c r="Q1159" s="7"/>
      <c r="R1159" s="7"/>
    </row>
    <row r="1160" spans="1:18" ht="102" x14ac:dyDescent="0.25">
      <c r="A1160" s="3" t="s">
        <v>18</v>
      </c>
      <c r="B1160" s="3">
        <v>2013</v>
      </c>
      <c r="C1160" s="3" t="s">
        <v>2058</v>
      </c>
      <c r="D1160" s="3" t="str">
        <f>"322 / 2013"</f>
        <v>322 / 2013</v>
      </c>
      <c r="E1160" s="4">
        <v>41465</v>
      </c>
      <c r="F1160" s="3" t="s">
        <v>2575</v>
      </c>
      <c r="G1160" s="5"/>
      <c r="H1160" s="3" t="s">
        <v>2576</v>
      </c>
      <c r="I1160" s="3">
        <v>20</v>
      </c>
      <c r="J1160" s="4">
        <v>41443</v>
      </c>
      <c r="K1160" s="6">
        <v>0.47916666666666669</v>
      </c>
      <c r="L1160" s="3">
        <v>13</v>
      </c>
      <c r="M1160" s="3" t="s">
        <v>2564</v>
      </c>
      <c r="N1160" s="3" t="s">
        <v>2564</v>
      </c>
      <c r="O1160" s="5"/>
      <c r="P1160" s="3" t="s">
        <v>22</v>
      </c>
      <c r="Q1160" s="7"/>
      <c r="R1160" s="7"/>
    </row>
    <row r="1161" spans="1:18" ht="76.5" x14ac:dyDescent="0.25">
      <c r="A1161" s="3" t="s">
        <v>18</v>
      </c>
      <c r="B1161" s="3">
        <v>2013</v>
      </c>
      <c r="C1161" s="3" t="s">
        <v>2058</v>
      </c>
      <c r="D1161" s="3" t="str">
        <f>"323 / 2013"</f>
        <v>323 / 2013</v>
      </c>
      <c r="E1161" s="4">
        <v>41445</v>
      </c>
      <c r="F1161" s="3" t="s">
        <v>2577</v>
      </c>
      <c r="G1161" s="5"/>
      <c r="H1161" s="3" t="s">
        <v>2578</v>
      </c>
      <c r="I1161" s="3">
        <v>20</v>
      </c>
      <c r="J1161" s="4">
        <v>41443</v>
      </c>
      <c r="K1161" s="6">
        <v>0.47916666666666669</v>
      </c>
      <c r="L1161" s="3">
        <v>14</v>
      </c>
      <c r="M1161" s="3" t="s">
        <v>2110</v>
      </c>
      <c r="N1161" s="3" t="s">
        <v>2110</v>
      </c>
      <c r="O1161" s="5"/>
      <c r="P1161" s="3" t="s">
        <v>22</v>
      </c>
      <c r="Q1161" s="7"/>
      <c r="R1161" s="7"/>
    </row>
    <row r="1162" spans="1:18" ht="51" x14ac:dyDescent="0.25">
      <c r="A1162" s="3" t="s">
        <v>18</v>
      </c>
      <c r="B1162" s="3">
        <v>2013</v>
      </c>
      <c r="C1162" s="3" t="s">
        <v>2058</v>
      </c>
      <c r="D1162" s="3" t="str">
        <f>"324 / 2013"</f>
        <v>324 / 2013</v>
      </c>
      <c r="E1162" s="4">
        <v>41450</v>
      </c>
      <c r="F1162" s="3" t="s">
        <v>2579</v>
      </c>
      <c r="G1162" s="5"/>
      <c r="H1162" s="3" t="s">
        <v>2580</v>
      </c>
      <c r="I1162" s="3">
        <v>20</v>
      </c>
      <c r="J1162" s="4">
        <v>41443</v>
      </c>
      <c r="K1162" s="6">
        <v>0.47916666666666669</v>
      </c>
      <c r="L1162" s="3">
        <v>15</v>
      </c>
      <c r="M1162" s="3" t="s">
        <v>2099</v>
      </c>
      <c r="N1162" s="3" t="s">
        <v>2099</v>
      </c>
      <c r="O1162" s="5"/>
      <c r="P1162" s="3" t="s">
        <v>22</v>
      </c>
      <c r="Q1162" s="7"/>
      <c r="R1162" s="7"/>
    </row>
    <row r="1163" spans="1:18" ht="51" x14ac:dyDescent="0.25">
      <c r="A1163" s="3" t="s">
        <v>18</v>
      </c>
      <c r="B1163" s="3">
        <v>2013</v>
      </c>
      <c r="C1163" s="3" t="s">
        <v>2058</v>
      </c>
      <c r="D1163" s="3" t="str">
        <f>"325 / 2013"</f>
        <v>325 / 2013</v>
      </c>
      <c r="E1163" s="4">
        <v>41464</v>
      </c>
      <c r="F1163" s="3" t="s">
        <v>2581</v>
      </c>
      <c r="G1163" s="5"/>
      <c r="H1163" s="3" t="s">
        <v>2582</v>
      </c>
      <c r="I1163" s="3">
        <v>20</v>
      </c>
      <c r="J1163" s="4">
        <v>41443</v>
      </c>
      <c r="K1163" s="6">
        <v>0.47916666666666669</v>
      </c>
      <c r="L1163" s="3">
        <v>16</v>
      </c>
      <c r="M1163" s="3" t="s">
        <v>2583</v>
      </c>
      <c r="N1163" s="3" t="s">
        <v>2583</v>
      </c>
      <c r="O1163" s="5"/>
      <c r="P1163" s="3" t="s">
        <v>22</v>
      </c>
      <c r="Q1163" s="7"/>
      <c r="R1163" s="7"/>
    </row>
    <row r="1164" spans="1:18" ht="153" x14ac:dyDescent="0.25">
      <c r="A1164" s="3" t="s">
        <v>18</v>
      </c>
      <c r="B1164" s="3">
        <v>2013</v>
      </c>
      <c r="C1164" s="3" t="s">
        <v>2058</v>
      </c>
      <c r="D1164" s="3" t="str">
        <f>"326 / 2013"</f>
        <v>326 / 2013</v>
      </c>
      <c r="E1164" s="4">
        <v>41450</v>
      </c>
      <c r="F1164" s="3" t="s">
        <v>2584</v>
      </c>
      <c r="G1164" s="5"/>
      <c r="H1164" s="3" t="s">
        <v>2585</v>
      </c>
      <c r="I1164" s="3">
        <v>20</v>
      </c>
      <c r="J1164" s="4">
        <v>41443</v>
      </c>
      <c r="K1164" s="6">
        <v>0.47916666666666669</v>
      </c>
      <c r="L1164" s="3">
        <v>17</v>
      </c>
      <c r="M1164" s="3" t="s">
        <v>2150</v>
      </c>
      <c r="N1164" s="3" t="s">
        <v>2150</v>
      </c>
      <c r="O1164" s="5"/>
      <c r="P1164" s="3" t="s">
        <v>22</v>
      </c>
      <c r="Q1164" s="7"/>
      <c r="R1164" s="7"/>
    </row>
    <row r="1165" spans="1:18" ht="51" x14ac:dyDescent="0.25">
      <c r="A1165" s="3" t="s">
        <v>18</v>
      </c>
      <c r="B1165" s="3">
        <v>2013</v>
      </c>
      <c r="C1165" s="3" t="s">
        <v>2058</v>
      </c>
      <c r="D1165" s="3" t="str">
        <f>"327 / 2013"</f>
        <v>327 / 2013</v>
      </c>
      <c r="E1165" s="4">
        <v>41444</v>
      </c>
      <c r="F1165" s="3" t="s">
        <v>2586</v>
      </c>
      <c r="G1165" s="5"/>
      <c r="H1165" s="3" t="s">
        <v>2587</v>
      </c>
      <c r="I1165" s="3">
        <v>20</v>
      </c>
      <c r="J1165" s="4">
        <v>41443</v>
      </c>
      <c r="K1165" s="6">
        <v>0.47916666666666669</v>
      </c>
      <c r="L1165" s="3">
        <v>18</v>
      </c>
      <c r="M1165" s="3" t="s">
        <v>2110</v>
      </c>
      <c r="N1165" s="3" t="s">
        <v>2110</v>
      </c>
      <c r="O1165" s="5"/>
      <c r="P1165" s="3" t="s">
        <v>22</v>
      </c>
      <c r="Q1165" s="7"/>
      <c r="R1165" s="7"/>
    </row>
    <row r="1166" spans="1:18" ht="76.5" x14ac:dyDescent="0.25">
      <c r="A1166" s="3" t="s">
        <v>18</v>
      </c>
      <c r="B1166" s="3">
        <v>2013</v>
      </c>
      <c r="C1166" s="3" t="s">
        <v>2058</v>
      </c>
      <c r="D1166" s="3" t="str">
        <f>"328 / 2013"</f>
        <v>328 / 2013</v>
      </c>
      <c r="E1166" s="4">
        <v>41464</v>
      </c>
      <c r="F1166" s="3" t="s">
        <v>2588</v>
      </c>
      <c r="G1166" s="5"/>
      <c r="H1166" s="3" t="s">
        <v>2589</v>
      </c>
      <c r="I1166" s="3">
        <v>20</v>
      </c>
      <c r="J1166" s="4">
        <v>41443</v>
      </c>
      <c r="K1166" s="6">
        <v>0.47916666666666669</v>
      </c>
      <c r="L1166" s="3">
        <v>19</v>
      </c>
      <c r="M1166" s="3" t="s">
        <v>2590</v>
      </c>
      <c r="N1166" s="3" t="s">
        <v>2590</v>
      </c>
      <c r="O1166" s="5"/>
      <c r="P1166" s="3" t="s">
        <v>22</v>
      </c>
      <c r="Q1166" s="7"/>
      <c r="R1166" s="7"/>
    </row>
    <row r="1167" spans="1:18" ht="89.25" x14ac:dyDescent="0.25">
      <c r="A1167" s="3" t="s">
        <v>18</v>
      </c>
      <c r="B1167" s="3">
        <v>2013</v>
      </c>
      <c r="C1167" s="3" t="s">
        <v>2058</v>
      </c>
      <c r="D1167" s="3" t="str">
        <f>"329 / 2013"</f>
        <v>329 / 2013</v>
      </c>
      <c r="E1167" s="4">
        <v>41500</v>
      </c>
      <c r="F1167" s="3" t="s">
        <v>2591</v>
      </c>
      <c r="G1167" s="5"/>
      <c r="H1167" s="3" t="s">
        <v>2592</v>
      </c>
      <c r="I1167" s="3">
        <v>20</v>
      </c>
      <c r="J1167" s="4">
        <v>41443</v>
      </c>
      <c r="K1167" s="6">
        <v>0.47916666666666669</v>
      </c>
      <c r="L1167" s="3">
        <v>20</v>
      </c>
      <c r="M1167" s="3" t="s">
        <v>35</v>
      </c>
      <c r="N1167" s="3" t="s">
        <v>35</v>
      </c>
      <c r="O1167" s="5"/>
      <c r="P1167" s="3" t="s">
        <v>22</v>
      </c>
      <c r="Q1167" s="7"/>
      <c r="R1167" s="7"/>
    </row>
    <row r="1168" spans="1:18" ht="51" x14ac:dyDescent="0.25">
      <c r="A1168" s="3" t="s">
        <v>18</v>
      </c>
      <c r="B1168" s="3">
        <v>2013</v>
      </c>
      <c r="C1168" s="3" t="s">
        <v>2058</v>
      </c>
      <c r="D1168" s="3" t="str">
        <f>"33 / 2013"</f>
        <v>33 / 2013</v>
      </c>
      <c r="E1168" s="4">
        <v>41313</v>
      </c>
      <c r="F1168" s="3" t="s">
        <v>2593</v>
      </c>
      <c r="G1168" s="5"/>
      <c r="H1168" s="3" t="s">
        <v>2594</v>
      </c>
      <c r="I1168" s="3">
        <v>4</v>
      </c>
      <c r="J1168" s="4">
        <v>41312</v>
      </c>
      <c r="K1168" s="6">
        <v>0.5</v>
      </c>
      <c r="L1168" s="3">
        <v>6</v>
      </c>
      <c r="M1168" s="3" t="s">
        <v>2595</v>
      </c>
      <c r="N1168" s="3" t="s">
        <v>2595</v>
      </c>
      <c r="O1168" s="5"/>
      <c r="P1168" s="3" t="s">
        <v>22</v>
      </c>
      <c r="Q1168" s="7"/>
      <c r="R1168" s="7"/>
    </row>
    <row r="1169" spans="1:18" ht="51" x14ac:dyDescent="0.25">
      <c r="A1169" s="3" t="s">
        <v>18</v>
      </c>
      <c r="B1169" s="3">
        <v>2013</v>
      </c>
      <c r="C1169" s="3" t="s">
        <v>2058</v>
      </c>
      <c r="D1169" s="3" t="str">
        <f>"332 / 2013"</f>
        <v>332 / 2013</v>
      </c>
      <c r="E1169" s="4">
        <v>41463</v>
      </c>
      <c r="F1169" s="3" t="s">
        <v>2596</v>
      </c>
      <c r="G1169" s="5"/>
      <c r="H1169" s="3" t="s">
        <v>2597</v>
      </c>
      <c r="I1169" s="3">
        <v>21</v>
      </c>
      <c r="J1169" s="4">
        <v>41453</v>
      </c>
      <c r="K1169" s="6">
        <v>0.47916666666666669</v>
      </c>
      <c r="L1169" s="3">
        <v>1</v>
      </c>
      <c r="M1169" s="3" t="s">
        <v>2535</v>
      </c>
      <c r="N1169" s="3" t="s">
        <v>2535</v>
      </c>
      <c r="O1169" s="5"/>
      <c r="P1169" s="3" t="s">
        <v>22</v>
      </c>
      <c r="Q1169" s="7"/>
      <c r="R1169" s="7"/>
    </row>
    <row r="1170" spans="1:18" ht="51" x14ac:dyDescent="0.25">
      <c r="A1170" s="3" t="s">
        <v>18</v>
      </c>
      <c r="B1170" s="3">
        <v>2013</v>
      </c>
      <c r="C1170" s="3" t="s">
        <v>2058</v>
      </c>
      <c r="D1170" s="3" t="str">
        <f>"333 / 2013"</f>
        <v>333 / 2013</v>
      </c>
      <c r="E1170" s="4">
        <v>41456</v>
      </c>
      <c r="F1170" s="3" t="s">
        <v>2598</v>
      </c>
      <c r="G1170" s="5"/>
      <c r="H1170" s="3" t="s">
        <v>2599</v>
      </c>
      <c r="I1170" s="3">
        <v>21</v>
      </c>
      <c r="J1170" s="4">
        <v>41453</v>
      </c>
      <c r="K1170" s="6">
        <v>0.47916666666666669</v>
      </c>
      <c r="L1170" s="3">
        <v>2</v>
      </c>
      <c r="M1170" s="3" t="s">
        <v>2535</v>
      </c>
      <c r="N1170" s="3" t="s">
        <v>2535</v>
      </c>
      <c r="O1170" s="5"/>
      <c r="P1170" s="3" t="s">
        <v>22</v>
      </c>
      <c r="Q1170" s="7"/>
      <c r="R1170" s="7"/>
    </row>
    <row r="1171" spans="1:18" ht="76.5" x14ac:dyDescent="0.25">
      <c r="A1171" s="3" t="s">
        <v>18</v>
      </c>
      <c r="B1171" s="3">
        <v>2013</v>
      </c>
      <c r="C1171" s="3" t="s">
        <v>2058</v>
      </c>
      <c r="D1171" s="3" t="str">
        <f>"334 / 2013"</f>
        <v>334 / 2013</v>
      </c>
      <c r="E1171" s="4">
        <v>41457</v>
      </c>
      <c r="F1171" s="3" t="s">
        <v>2600</v>
      </c>
      <c r="G1171" s="5"/>
      <c r="H1171" s="3" t="s">
        <v>2601</v>
      </c>
      <c r="I1171" s="3">
        <v>21</v>
      </c>
      <c r="J1171" s="4">
        <v>41453</v>
      </c>
      <c r="K1171" s="6">
        <v>0.47916666666666669</v>
      </c>
      <c r="L1171" s="3">
        <v>3</v>
      </c>
      <c r="M1171" s="3" t="s">
        <v>2110</v>
      </c>
      <c r="N1171" s="3" t="s">
        <v>2110</v>
      </c>
      <c r="O1171" s="5"/>
      <c r="P1171" s="3" t="s">
        <v>22</v>
      </c>
      <c r="Q1171" s="7"/>
      <c r="R1171" s="7"/>
    </row>
    <row r="1172" spans="1:18" ht="76.5" x14ac:dyDescent="0.25">
      <c r="A1172" s="3" t="s">
        <v>18</v>
      </c>
      <c r="B1172" s="3">
        <v>2013</v>
      </c>
      <c r="C1172" s="3" t="s">
        <v>2058</v>
      </c>
      <c r="D1172" s="3" t="str">
        <f>"335 / 2013"</f>
        <v>335 / 2013</v>
      </c>
      <c r="E1172" s="4">
        <v>41456</v>
      </c>
      <c r="F1172" s="3" t="s">
        <v>2602</v>
      </c>
      <c r="G1172" s="5"/>
      <c r="H1172" s="3" t="s">
        <v>2603</v>
      </c>
      <c r="I1172" s="3">
        <v>21</v>
      </c>
      <c r="J1172" s="4">
        <v>41453</v>
      </c>
      <c r="K1172" s="6">
        <v>0.47916666666666669</v>
      </c>
      <c r="L1172" s="3">
        <v>4</v>
      </c>
      <c r="M1172" s="3" t="s">
        <v>2507</v>
      </c>
      <c r="N1172" s="3" t="s">
        <v>2507</v>
      </c>
      <c r="O1172" s="5"/>
      <c r="P1172" s="3" t="s">
        <v>22</v>
      </c>
      <c r="Q1172" s="7"/>
      <c r="R1172" s="7"/>
    </row>
    <row r="1173" spans="1:18" ht="76.5" x14ac:dyDescent="0.25">
      <c r="A1173" s="3" t="s">
        <v>18</v>
      </c>
      <c r="B1173" s="3">
        <v>2013</v>
      </c>
      <c r="C1173" s="3" t="s">
        <v>2058</v>
      </c>
      <c r="D1173" s="3" t="str">
        <f>"336 / 2013"</f>
        <v>336 / 2013</v>
      </c>
      <c r="E1173" s="4">
        <v>41456</v>
      </c>
      <c r="F1173" s="3" t="s">
        <v>2604</v>
      </c>
      <c r="G1173" s="5"/>
      <c r="H1173" s="3" t="s">
        <v>2605</v>
      </c>
      <c r="I1173" s="3">
        <v>21</v>
      </c>
      <c r="J1173" s="4">
        <v>41453</v>
      </c>
      <c r="K1173" s="6">
        <v>0.47916666666666669</v>
      </c>
      <c r="L1173" s="3">
        <v>5</v>
      </c>
      <c r="M1173" s="3" t="s">
        <v>2507</v>
      </c>
      <c r="N1173" s="3" t="s">
        <v>2507</v>
      </c>
      <c r="O1173" s="5"/>
      <c r="P1173" s="3" t="s">
        <v>22</v>
      </c>
      <c r="Q1173" s="7"/>
      <c r="R1173" s="7"/>
    </row>
    <row r="1174" spans="1:18" ht="51" x14ac:dyDescent="0.25">
      <c r="A1174" s="3" t="s">
        <v>18</v>
      </c>
      <c r="B1174" s="3">
        <v>2013</v>
      </c>
      <c r="C1174" s="3" t="s">
        <v>2058</v>
      </c>
      <c r="D1174" s="3" t="str">
        <f>"337 / 2013"</f>
        <v>337 / 2013</v>
      </c>
      <c r="E1174" s="4">
        <v>41457</v>
      </c>
      <c r="F1174" s="3" t="s">
        <v>2606</v>
      </c>
      <c r="G1174" s="5"/>
      <c r="H1174" s="3" t="s">
        <v>2607</v>
      </c>
      <c r="I1174" s="3">
        <v>21</v>
      </c>
      <c r="J1174" s="4">
        <v>41453</v>
      </c>
      <c r="K1174" s="6">
        <v>0.47916666666666669</v>
      </c>
      <c r="L1174" s="3">
        <v>6</v>
      </c>
      <c r="M1174" s="3" t="s">
        <v>2110</v>
      </c>
      <c r="N1174" s="3" t="s">
        <v>2110</v>
      </c>
      <c r="O1174" s="5"/>
      <c r="P1174" s="3" t="s">
        <v>22</v>
      </c>
      <c r="Q1174" s="7"/>
      <c r="R1174" s="7"/>
    </row>
    <row r="1175" spans="1:18" ht="51" x14ac:dyDescent="0.25">
      <c r="A1175" s="3" t="s">
        <v>18</v>
      </c>
      <c r="B1175" s="3">
        <v>2013</v>
      </c>
      <c r="C1175" s="3" t="s">
        <v>2058</v>
      </c>
      <c r="D1175" s="3" t="str">
        <f>"338 / 2013"</f>
        <v>338 / 2013</v>
      </c>
      <c r="E1175" s="4">
        <v>41459</v>
      </c>
      <c r="F1175" s="3" t="s">
        <v>2608</v>
      </c>
      <c r="G1175" s="5"/>
      <c r="H1175" s="3" t="s">
        <v>2609</v>
      </c>
      <c r="I1175" s="3">
        <v>21</v>
      </c>
      <c r="J1175" s="4">
        <v>41453</v>
      </c>
      <c r="K1175" s="6">
        <v>0.47916666666666669</v>
      </c>
      <c r="L1175" s="3">
        <v>7</v>
      </c>
      <c r="M1175" s="3" t="s">
        <v>2110</v>
      </c>
      <c r="N1175" s="3" t="s">
        <v>2110</v>
      </c>
      <c r="O1175" s="5"/>
      <c r="P1175" s="3" t="s">
        <v>22</v>
      </c>
      <c r="Q1175" s="7"/>
      <c r="R1175" s="7"/>
    </row>
    <row r="1176" spans="1:18" ht="51" x14ac:dyDescent="0.25">
      <c r="A1176" s="3" t="s">
        <v>18</v>
      </c>
      <c r="B1176" s="3">
        <v>2013</v>
      </c>
      <c r="C1176" s="3" t="s">
        <v>2058</v>
      </c>
      <c r="D1176" s="3" t="str">
        <f>"339 / 2013"</f>
        <v>339 / 2013</v>
      </c>
      <c r="E1176" s="4">
        <v>41457</v>
      </c>
      <c r="F1176" s="3" t="s">
        <v>2610</v>
      </c>
      <c r="G1176" s="5"/>
      <c r="H1176" s="3" t="s">
        <v>2611</v>
      </c>
      <c r="I1176" s="3">
        <v>21</v>
      </c>
      <c r="J1176" s="4">
        <v>41453</v>
      </c>
      <c r="K1176" s="6">
        <v>0.47916666666666669</v>
      </c>
      <c r="L1176" s="3">
        <v>8</v>
      </c>
      <c r="M1176" s="3" t="s">
        <v>2099</v>
      </c>
      <c r="N1176" s="3" t="s">
        <v>2099</v>
      </c>
      <c r="O1176" s="5"/>
      <c r="P1176" s="3" t="s">
        <v>22</v>
      </c>
      <c r="Q1176" s="7"/>
      <c r="R1176" s="7"/>
    </row>
    <row r="1177" spans="1:18" ht="165.75" x14ac:dyDescent="0.25">
      <c r="A1177" s="3" t="s">
        <v>18</v>
      </c>
      <c r="B1177" s="3">
        <v>2013</v>
      </c>
      <c r="C1177" s="3" t="s">
        <v>2058</v>
      </c>
      <c r="D1177" s="3" t="str">
        <f>"34 / 2013"</f>
        <v>34 / 2013</v>
      </c>
      <c r="E1177" s="4">
        <v>41317</v>
      </c>
      <c r="F1177" s="3" t="s">
        <v>2612</v>
      </c>
      <c r="G1177" s="5"/>
      <c r="H1177" s="3" t="s">
        <v>2613</v>
      </c>
      <c r="I1177" s="3">
        <v>4</v>
      </c>
      <c r="J1177" s="4">
        <v>41312</v>
      </c>
      <c r="K1177" s="6">
        <v>0.5</v>
      </c>
      <c r="L1177" s="3">
        <v>7</v>
      </c>
      <c r="M1177" s="3" t="s">
        <v>2614</v>
      </c>
      <c r="N1177" s="3" t="s">
        <v>2614</v>
      </c>
      <c r="O1177" s="5"/>
      <c r="P1177" s="3" t="s">
        <v>22</v>
      </c>
      <c r="Q1177" s="7"/>
      <c r="R1177" s="7"/>
    </row>
    <row r="1178" spans="1:18" ht="76.5" x14ac:dyDescent="0.25">
      <c r="A1178" s="3" t="s">
        <v>18</v>
      </c>
      <c r="B1178" s="3">
        <v>2013</v>
      </c>
      <c r="C1178" s="3" t="s">
        <v>2058</v>
      </c>
      <c r="D1178" s="3" t="str">
        <f>"340 / 2013"</f>
        <v>340 / 2013</v>
      </c>
      <c r="E1178" s="4">
        <v>41484</v>
      </c>
      <c r="F1178" s="3" t="s">
        <v>2615</v>
      </c>
      <c r="G1178" s="5"/>
      <c r="H1178" s="3" t="s">
        <v>2616</v>
      </c>
      <c r="I1178" s="3">
        <v>21</v>
      </c>
      <c r="J1178" s="4">
        <v>41453</v>
      </c>
      <c r="K1178" s="6">
        <v>0.47916666666666669</v>
      </c>
      <c r="L1178" s="3">
        <v>9</v>
      </c>
      <c r="M1178" s="3" t="s">
        <v>2099</v>
      </c>
      <c r="N1178" s="3" t="s">
        <v>2099</v>
      </c>
      <c r="O1178" s="5"/>
      <c r="P1178" s="3" t="s">
        <v>22</v>
      </c>
      <c r="Q1178" s="7"/>
      <c r="R1178" s="7"/>
    </row>
    <row r="1179" spans="1:18" ht="51" x14ac:dyDescent="0.25">
      <c r="A1179" s="3" t="s">
        <v>18</v>
      </c>
      <c r="B1179" s="3">
        <v>2013</v>
      </c>
      <c r="C1179" s="3" t="s">
        <v>2058</v>
      </c>
      <c r="D1179" s="3" t="str">
        <f>"341 / 2013"</f>
        <v>341 / 2013</v>
      </c>
      <c r="E1179" s="4">
        <v>41460</v>
      </c>
      <c r="F1179" s="3" t="s">
        <v>2617</v>
      </c>
      <c r="G1179" s="5"/>
      <c r="H1179" s="3" t="s">
        <v>2618</v>
      </c>
      <c r="I1179" s="3">
        <v>21</v>
      </c>
      <c r="J1179" s="4">
        <v>41453</v>
      </c>
      <c r="K1179" s="6">
        <v>0.47916666666666669</v>
      </c>
      <c r="L1179" s="3">
        <v>10</v>
      </c>
      <c r="M1179" s="3" t="s">
        <v>2110</v>
      </c>
      <c r="N1179" s="3" t="s">
        <v>2110</v>
      </c>
      <c r="O1179" s="5"/>
      <c r="P1179" s="3" t="s">
        <v>22</v>
      </c>
      <c r="Q1179" s="7"/>
      <c r="R1179" s="7"/>
    </row>
    <row r="1180" spans="1:18" ht="51" x14ac:dyDescent="0.25">
      <c r="A1180" s="3" t="s">
        <v>18</v>
      </c>
      <c r="B1180" s="3">
        <v>2013</v>
      </c>
      <c r="C1180" s="3" t="s">
        <v>2058</v>
      </c>
      <c r="D1180" s="3" t="str">
        <f>"342 / 2013"</f>
        <v>342 / 2013</v>
      </c>
      <c r="E1180" s="4">
        <v>41459</v>
      </c>
      <c r="F1180" s="3" t="s">
        <v>2619</v>
      </c>
      <c r="G1180" s="5"/>
      <c r="H1180" s="3" t="s">
        <v>2620</v>
      </c>
      <c r="I1180" s="3">
        <v>21</v>
      </c>
      <c r="J1180" s="4">
        <v>41453</v>
      </c>
      <c r="K1180" s="6">
        <v>0.47916666666666669</v>
      </c>
      <c r="L1180" s="3">
        <v>11</v>
      </c>
      <c r="M1180" s="3" t="s">
        <v>2110</v>
      </c>
      <c r="N1180" s="3" t="s">
        <v>2110</v>
      </c>
      <c r="O1180" s="5"/>
      <c r="P1180" s="3" t="s">
        <v>22</v>
      </c>
      <c r="Q1180" s="7"/>
      <c r="R1180" s="7"/>
    </row>
    <row r="1181" spans="1:18" ht="51" x14ac:dyDescent="0.25">
      <c r="A1181" s="3" t="s">
        <v>18</v>
      </c>
      <c r="B1181" s="3">
        <v>2013</v>
      </c>
      <c r="C1181" s="3" t="s">
        <v>2058</v>
      </c>
      <c r="D1181" s="3" t="str">
        <f>"343 / 2013"</f>
        <v>343 / 2013</v>
      </c>
      <c r="E1181" s="4">
        <v>41460</v>
      </c>
      <c r="F1181" s="3" t="s">
        <v>2621</v>
      </c>
      <c r="G1181" s="5"/>
      <c r="H1181" s="3" t="s">
        <v>2622</v>
      </c>
      <c r="I1181" s="3">
        <v>21</v>
      </c>
      <c r="J1181" s="4">
        <v>41453</v>
      </c>
      <c r="K1181" s="6">
        <v>0.47916666666666669</v>
      </c>
      <c r="L1181" s="3">
        <v>12</v>
      </c>
      <c r="M1181" s="3" t="s">
        <v>2110</v>
      </c>
      <c r="N1181" s="3" t="s">
        <v>2110</v>
      </c>
      <c r="O1181" s="5"/>
      <c r="P1181" s="3" t="s">
        <v>22</v>
      </c>
      <c r="Q1181" s="7"/>
      <c r="R1181" s="7"/>
    </row>
    <row r="1182" spans="1:18" ht="51" x14ac:dyDescent="0.25">
      <c r="A1182" s="3" t="s">
        <v>18</v>
      </c>
      <c r="B1182" s="3">
        <v>2013</v>
      </c>
      <c r="C1182" s="3" t="s">
        <v>2058</v>
      </c>
      <c r="D1182" s="3" t="str">
        <f>"344 / 2013"</f>
        <v>344 / 2013</v>
      </c>
      <c r="E1182" s="4">
        <v>41463</v>
      </c>
      <c r="F1182" s="3" t="s">
        <v>2623</v>
      </c>
      <c r="G1182" s="5"/>
      <c r="H1182" s="3" t="s">
        <v>2624</v>
      </c>
      <c r="I1182" s="3">
        <v>21</v>
      </c>
      <c r="J1182" s="4">
        <v>41453</v>
      </c>
      <c r="K1182" s="6">
        <v>0.47916666666666669</v>
      </c>
      <c r="L1182" s="3">
        <v>13</v>
      </c>
      <c r="M1182" s="3" t="s">
        <v>2256</v>
      </c>
      <c r="N1182" s="3" t="s">
        <v>2256</v>
      </c>
      <c r="O1182" s="5"/>
      <c r="P1182" s="3" t="s">
        <v>22</v>
      </c>
      <c r="Q1182" s="7"/>
      <c r="R1182" s="7"/>
    </row>
    <row r="1183" spans="1:18" ht="63.75" x14ac:dyDescent="0.25">
      <c r="A1183" s="3" t="s">
        <v>18</v>
      </c>
      <c r="B1183" s="3">
        <v>2013</v>
      </c>
      <c r="C1183" s="3" t="s">
        <v>2058</v>
      </c>
      <c r="D1183" s="3" t="str">
        <f>"345 / 2013"</f>
        <v>345 / 2013</v>
      </c>
      <c r="E1183" s="4">
        <v>41459</v>
      </c>
      <c r="F1183" s="3" t="s">
        <v>2625</v>
      </c>
      <c r="G1183" s="5"/>
      <c r="H1183" s="3" t="s">
        <v>2626</v>
      </c>
      <c r="I1183" s="3">
        <v>21</v>
      </c>
      <c r="J1183" s="4">
        <v>41453</v>
      </c>
      <c r="K1183" s="6">
        <v>0.47916666666666669</v>
      </c>
      <c r="L1183" s="3">
        <v>14</v>
      </c>
      <c r="M1183" s="3" t="s">
        <v>2110</v>
      </c>
      <c r="N1183" s="3" t="s">
        <v>2110</v>
      </c>
      <c r="O1183" s="5"/>
      <c r="P1183" s="3" t="s">
        <v>22</v>
      </c>
      <c r="Q1183" s="7"/>
      <c r="R1183" s="7"/>
    </row>
    <row r="1184" spans="1:18" ht="63.75" x14ac:dyDescent="0.25">
      <c r="A1184" s="3" t="s">
        <v>18</v>
      </c>
      <c r="B1184" s="3">
        <v>2013</v>
      </c>
      <c r="C1184" s="3" t="s">
        <v>2058</v>
      </c>
      <c r="D1184" s="3" t="str">
        <f>"346 / 2013"</f>
        <v>346 / 2013</v>
      </c>
      <c r="E1184" s="4">
        <v>41463</v>
      </c>
      <c r="F1184" s="3" t="s">
        <v>2627</v>
      </c>
      <c r="G1184" s="5"/>
      <c r="H1184" s="3" t="s">
        <v>2628</v>
      </c>
      <c r="I1184" s="3">
        <v>21</v>
      </c>
      <c r="J1184" s="4">
        <v>41453</v>
      </c>
      <c r="K1184" s="6">
        <v>0.47916666666666669</v>
      </c>
      <c r="L1184" s="3">
        <v>15</v>
      </c>
      <c r="M1184" s="3" t="s">
        <v>2300</v>
      </c>
      <c r="N1184" s="3" t="s">
        <v>2300</v>
      </c>
      <c r="O1184" s="5"/>
      <c r="P1184" s="3" t="s">
        <v>22</v>
      </c>
      <c r="Q1184" s="7"/>
      <c r="R1184" s="7"/>
    </row>
    <row r="1185" spans="1:18" ht="76.5" x14ac:dyDescent="0.25">
      <c r="A1185" s="3" t="s">
        <v>18</v>
      </c>
      <c r="B1185" s="3">
        <v>2013</v>
      </c>
      <c r="C1185" s="3" t="s">
        <v>2058</v>
      </c>
      <c r="D1185" s="3" t="str">
        <f>"347 / 2013"</f>
        <v>347 / 2013</v>
      </c>
      <c r="E1185" s="4">
        <v>41453</v>
      </c>
      <c r="F1185" s="3" t="s">
        <v>2629</v>
      </c>
      <c r="G1185" s="5"/>
      <c r="H1185" s="3" t="s">
        <v>2630</v>
      </c>
      <c r="I1185" s="3">
        <v>21</v>
      </c>
      <c r="J1185" s="4">
        <v>41453</v>
      </c>
      <c r="K1185" s="6">
        <v>0.47916666666666669</v>
      </c>
      <c r="L1185" s="3">
        <v>16</v>
      </c>
      <c r="M1185" s="3" t="s">
        <v>2122</v>
      </c>
      <c r="N1185" s="3" t="s">
        <v>2122</v>
      </c>
      <c r="O1185" s="5"/>
      <c r="P1185" s="3" t="s">
        <v>22</v>
      </c>
      <c r="Q1185" s="7"/>
      <c r="R1185" s="7"/>
    </row>
    <row r="1186" spans="1:18" ht="89.25" x14ac:dyDescent="0.25">
      <c r="A1186" s="3" t="s">
        <v>18</v>
      </c>
      <c r="B1186" s="3">
        <v>2013</v>
      </c>
      <c r="C1186" s="3" t="s">
        <v>2058</v>
      </c>
      <c r="D1186" s="3" t="str">
        <f>"348 / 2013"</f>
        <v>348 / 2013</v>
      </c>
      <c r="E1186" s="4">
        <v>41478</v>
      </c>
      <c r="F1186" s="3" t="s">
        <v>2631</v>
      </c>
      <c r="G1186" s="5"/>
      <c r="H1186" s="3" t="s">
        <v>2632</v>
      </c>
      <c r="I1186" s="3">
        <v>21</v>
      </c>
      <c r="J1186" s="4">
        <v>41453</v>
      </c>
      <c r="K1186" s="6">
        <v>0.47916666666666669</v>
      </c>
      <c r="L1186" s="3">
        <v>17</v>
      </c>
      <c r="M1186" s="3" t="s">
        <v>29</v>
      </c>
      <c r="N1186" s="3" t="s">
        <v>29</v>
      </c>
      <c r="O1186" s="5"/>
      <c r="P1186" s="3" t="s">
        <v>22</v>
      </c>
      <c r="Q1186" s="7"/>
      <c r="R1186" s="7"/>
    </row>
    <row r="1187" spans="1:18" ht="102" x14ac:dyDescent="0.25">
      <c r="A1187" s="3" t="s">
        <v>18</v>
      </c>
      <c r="B1187" s="3">
        <v>2013</v>
      </c>
      <c r="C1187" s="3" t="s">
        <v>2058</v>
      </c>
      <c r="D1187" s="3" t="str">
        <f>"349 / 2013"</f>
        <v>349 / 2013</v>
      </c>
      <c r="E1187" s="4">
        <v>41465</v>
      </c>
      <c r="F1187" s="3" t="s">
        <v>2633</v>
      </c>
      <c r="G1187" s="5"/>
      <c r="H1187" s="3" t="s">
        <v>2634</v>
      </c>
      <c r="I1187" s="3">
        <v>21</v>
      </c>
      <c r="J1187" s="4">
        <v>41453</v>
      </c>
      <c r="K1187" s="6">
        <v>0.47916666666666669</v>
      </c>
      <c r="L1187" s="3">
        <v>18</v>
      </c>
      <c r="M1187" s="3" t="s">
        <v>2635</v>
      </c>
      <c r="N1187" s="3" t="s">
        <v>2635</v>
      </c>
      <c r="O1187" s="5"/>
      <c r="P1187" s="3" t="s">
        <v>22</v>
      </c>
      <c r="Q1187" s="7"/>
      <c r="R1187" s="7"/>
    </row>
    <row r="1188" spans="1:18" ht="76.5" x14ac:dyDescent="0.25">
      <c r="A1188" s="3" t="s">
        <v>18</v>
      </c>
      <c r="B1188" s="3">
        <v>2013</v>
      </c>
      <c r="C1188" s="3" t="s">
        <v>2058</v>
      </c>
      <c r="D1188" s="3" t="str">
        <f>"35 / 2013"</f>
        <v>35 / 2013</v>
      </c>
      <c r="E1188" s="4">
        <v>41316</v>
      </c>
      <c r="F1188" s="3" t="s">
        <v>2636</v>
      </c>
      <c r="G1188" s="5"/>
      <c r="H1188" s="3" t="s">
        <v>2637</v>
      </c>
      <c r="I1188" s="3">
        <v>4</v>
      </c>
      <c r="J1188" s="4">
        <v>41312</v>
      </c>
      <c r="K1188" s="6">
        <v>0.5</v>
      </c>
      <c r="L1188" s="3">
        <v>8</v>
      </c>
      <c r="M1188" s="3" t="s">
        <v>2211</v>
      </c>
      <c r="N1188" s="3" t="s">
        <v>2211</v>
      </c>
      <c r="O1188" s="5"/>
      <c r="P1188" s="3" t="s">
        <v>22</v>
      </c>
      <c r="Q1188" s="7"/>
      <c r="R1188" s="7"/>
    </row>
    <row r="1189" spans="1:18" ht="89.25" x14ac:dyDescent="0.25">
      <c r="A1189" s="3" t="s">
        <v>18</v>
      </c>
      <c r="B1189" s="3">
        <v>2013</v>
      </c>
      <c r="C1189" s="3" t="s">
        <v>2058</v>
      </c>
      <c r="D1189" s="3" t="str">
        <f>"350 / 2013"</f>
        <v>350 / 2013</v>
      </c>
      <c r="E1189" s="4">
        <v>41465</v>
      </c>
      <c r="F1189" s="3" t="s">
        <v>2638</v>
      </c>
      <c r="G1189" s="5"/>
      <c r="H1189" s="3" t="s">
        <v>2639</v>
      </c>
      <c r="I1189" s="3">
        <v>21</v>
      </c>
      <c r="J1189" s="4">
        <v>41453</v>
      </c>
      <c r="K1189" s="6">
        <v>0.47916666666666669</v>
      </c>
      <c r="L1189" s="3">
        <v>19</v>
      </c>
      <c r="M1189" s="3" t="s">
        <v>2061</v>
      </c>
      <c r="N1189" s="3" t="s">
        <v>2061</v>
      </c>
      <c r="O1189" s="5"/>
      <c r="P1189" s="3" t="s">
        <v>22</v>
      </c>
      <c r="Q1189" s="7"/>
      <c r="R1189" s="7"/>
    </row>
    <row r="1190" spans="1:18" ht="102" x14ac:dyDescent="0.25">
      <c r="A1190" s="3" t="s">
        <v>18</v>
      </c>
      <c r="B1190" s="3">
        <v>2013</v>
      </c>
      <c r="C1190" s="3" t="s">
        <v>2058</v>
      </c>
      <c r="D1190" s="3" t="str">
        <f>"351 / 2013"</f>
        <v>351 / 2013</v>
      </c>
      <c r="E1190" s="4">
        <v>41464</v>
      </c>
      <c r="F1190" s="3" t="s">
        <v>2640</v>
      </c>
      <c r="G1190" s="5"/>
      <c r="H1190" s="3" t="s">
        <v>2641</v>
      </c>
      <c r="I1190" s="3">
        <v>21</v>
      </c>
      <c r="J1190" s="4">
        <v>41453</v>
      </c>
      <c r="K1190" s="6">
        <v>0.47916666666666669</v>
      </c>
      <c r="L1190" s="3">
        <v>351</v>
      </c>
      <c r="M1190" s="3" t="s">
        <v>2061</v>
      </c>
      <c r="N1190" s="3" t="s">
        <v>2061</v>
      </c>
      <c r="O1190" s="5"/>
      <c r="P1190" s="3" t="s">
        <v>22</v>
      </c>
      <c r="Q1190" s="7"/>
      <c r="R1190" s="7"/>
    </row>
    <row r="1191" spans="1:18" ht="153" x14ac:dyDescent="0.25">
      <c r="A1191" s="3" t="s">
        <v>18</v>
      </c>
      <c r="B1191" s="3">
        <v>2013</v>
      </c>
      <c r="C1191" s="3" t="s">
        <v>2058</v>
      </c>
      <c r="D1191" s="3" t="str">
        <f>"352 / 2013"</f>
        <v>352 / 2013</v>
      </c>
      <c r="E1191" s="4">
        <v>41478</v>
      </c>
      <c r="F1191" s="3" t="s">
        <v>2642</v>
      </c>
      <c r="G1191" s="5"/>
      <c r="H1191" s="3" t="s">
        <v>2643</v>
      </c>
      <c r="I1191" s="3">
        <v>21</v>
      </c>
      <c r="J1191" s="4">
        <v>41453</v>
      </c>
      <c r="K1191" s="6">
        <v>0.47916666666666669</v>
      </c>
      <c r="L1191" s="5"/>
      <c r="M1191" s="3" t="s">
        <v>2644</v>
      </c>
      <c r="N1191" s="3" t="s">
        <v>2644</v>
      </c>
      <c r="O1191" s="5"/>
      <c r="P1191" s="3" t="s">
        <v>22</v>
      </c>
      <c r="Q1191" s="7"/>
      <c r="R1191" s="7"/>
    </row>
    <row r="1192" spans="1:18" ht="102" x14ac:dyDescent="0.25">
      <c r="A1192" s="3" t="s">
        <v>18</v>
      </c>
      <c r="B1192" s="3">
        <v>2013</v>
      </c>
      <c r="C1192" s="3" t="s">
        <v>2058</v>
      </c>
      <c r="D1192" s="3" t="str">
        <f>"353 / 2013"</f>
        <v>353 / 2013</v>
      </c>
      <c r="E1192" s="4">
        <v>41464</v>
      </c>
      <c r="F1192" s="3" t="s">
        <v>2645</v>
      </c>
      <c r="G1192" s="5"/>
      <c r="H1192" s="3" t="s">
        <v>2646</v>
      </c>
      <c r="I1192" s="3">
        <v>21</v>
      </c>
      <c r="J1192" s="4">
        <v>41453</v>
      </c>
      <c r="K1192" s="6">
        <v>0.47916666666666669</v>
      </c>
      <c r="L1192" s="3">
        <v>22</v>
      </c>
      <c r="M1192" s="3" t="s">
        <v>2300</v>
      </c>
      <c r="N1192" s="3" t="s">
        <v>2300</v>
      </c>
      <c r="O1192" s="5"/>
      <c r="P1192" s="3" t="s">
        <v>22</v>
      </c>
      <c r="Q1192" s="7"/>
      <c r="R1192" s="7"/>
    </row>
    <row r="1193" spans="1:18" ht="102" x14ac:dyDescent="0.25">
      <c r="A1193" s="3" t="s">
        <v>18</v>
      </c>
      <c r="B1193" s="3">
        <v>2013</v>
      </c>
      <c r="C1193" s="3" t="s">
        <v>2058</v>
      </c>
      <c r="D1193" s="3" t="str">
        <f>"354 / 2013"</f>
        <v>354 / 2013</v>
      </c>
      <c r="E1193" s="4">
        <v>41481</v>
      </c>
      <c r="F1193" s="3" t="s">
        <v>2647</v>
      </c>
      <c r="G1193" s="5"/>
      <c r="H1193" s="3" t="s">
        <v>2648</v>
      </c>
      <c r="I1193" s="3">
        <v>21</v>
      </c>
      <c r="J1193" s="4">
        <v>41453</v>
      </c>
      <c r="K1193" s="6">
        <v>0.47916666666666669</v>
      </c>
      <c r="L1193" s="3">
        <v>23</v>
      </c>
      <c r="M1193" s="3" t="s">
        <v>2300</v>
      </c>
      <c r="N1193" s="3" t="s">
        <v>2300</v>
      </c>
      <c r="O1193" s="5"/>
      <c r="P1193" s="3" t="s">
        <v>22</v>
      </c>
      <c r="Q1193" s="7"/>
      <c r="R1193" s="7"/>
    </row>
    <row r="1194" spans="1:18" ht="114.75" x14ac:dyDescent="0.25">
      <c r="A1194" s="3" t="s">
        <v>18</v>
      </c>
      <c r="B1194" s="3">
        <v>2013</v>
      </c>
      <c r="C1194" s="3" t="s">
        <v>2058</v>
      </c>
      <c r="D1194" s="3" t="str">
        <f>"355 / 2013"</f>
        <v>355 / 2013</v>
      </c>
      <c r="E1194" s="4">
        <v>41506</v>
      </c>
      <c r="F1194" s="3" t="s">
        <v>2649</v>
      </c>
      <c r="G1194" s="5"/>
      <c r="H1194" s="3" t="s">
        <v>2650</v>
      </c>
      <c r="I1194" s="3">
        <v>21</v>
      </c>
      <c r="J1194" s="4">
        <v>41453</v>
      </c>
      <c r="K1194" s="6">
        <v>0.47916666666666669</v>
      </c>
      <c r="L1194" s="3">
        <v>24</v>
      </c>
      <c r="M1194" s="3" t="s">
        <v>2300</v>
      </c>
      <c r="N1194" s="3" t="s">
        <v>2300</v>
      </c>
      <c r="O1194" s="5"/>
      <c r="P1194" s="3" t="s">
        <v>22</v>
      </c>
      <c r="Q1194" s="7"/>
      <c r="R1194" s="7"/>
    </row>
    <row r="1195" spans="1:18" ht="51" x14ac:dyDescent="0.25">
      <c r="A1195" s="3" t="s">
        <v>18</v>
      </c>
      <c r="B1195" s="3">
        <v>2013</v>
      </c>
      <c r="C1195" s="3" t="s">
        <v>2058</v>
      </c>
      <c r="D1195" s="3" t="str">
        <f>"356 / 2013"</f>
        <v>356 / 2013</v>
      </c>
      <c r="E1195" s="4">
        <v>41457</v>
      </c>
      <c r="F1195" s="3" t="s">
        <v>2651</v>
      </c>
      <c r="G1195" s="5"/>
      <c r="H1195" s="3" t="s">
        <v>2652</v>
      </c>
      <c r="I1195" s="3">
        <v>21</v>
      </c>
      <c r="J1195" s="4">
        <v>41453</v>
      </c>
      <c r="K1195" s="6">
        <v>0.47916666666666669</v>
      </c>
      <c r="L1195" s="3">
        <v>25</v>
      </c>
      <c r="M1195" s="3" t="s">
        <v>2099</v>
      </c>
      <c r="N1195" s="3" t="s">
        <v>2099</v>
      </c>
      <c r="O1195" s="5"/>
      <c r="P1195" s="3" t="s">
        <v>22</v>
      </c>
      <c r="Q1195" s="7"/>
      <c r="R1195" s="7"/>
    </row>
    <row r="1196" spans="1:18" ht="63.75" x14ac:dyDescent="0.25">
      <c r="A1196" s="3" t="s">
        <v>18</v>
      </c>
      <c r="B1196" s="3">
        <v>2013</v>
      </c>
      <c r="C1196" s="3" t="s">
        <v>2058</v>
      </c>
      <c r="D1196" s="3" t="str">
        <f>"357 / 2013"</f>
        <v>357 / 2013</v>
      </c>
      <c r="E1196" s="4">
        <v>41459</v>
      </c>
      <c r="F1196" s="3" t="s">
        <v>2653</v>
      </c>
      <c r="G1196" s="5"/>
      <c r="H1196" s="3" t="s">
        <v>2654</v>
      </c>
      <c r="I1196" s="3">
        <v>21</v>
      </c>
      <c r="J1196" s="4">
        <v>41453</v>
      </c>
      <c r="K1196" s="6">
        <v>0.47916666666666669</v>
      </c>
      <c r="L1196" s="3">
        <v>26</v>
      </c>
      <c r="M1196" s="3" t="s">
        <v>2110</v>
      </c>
      <c r="N1196" s="3" t="s">
        <v>2110</v>
      </c>
      <c r="O1196" s="5"/>
      <c r="P1196" s="3" t="s">
        <v>22</v>
      </c>
      <c r="Q1196" s="7"/>
      <c r="R1196" s="7"/>
    </row>
    <row r="1197" spans="1:18" ht="89.25" x14ac:dyDescent="0.25">
      <c r="A1197" s="3" t="s">
        <v>18</v>
      </c>
      <c r="B1197" s="3">
        <v>2013</v>
      </c>
      <c r="C1197" s="3" t="s">
        <v>2058</v>
      </c>
      <c r="D1197" s="3" t="str">
        <f>"358 / 2013"</f>
        <v>358 / 2013</v>
      </c>
      <c r="E1197" s="4">
        <v>41457</v>
      </c>
      <c r="F1197" s="3" t="s">
        <v>2655</v>
      </c>
      <c r="G1197" s="5"/>
      <c r="H1197" s="3" t="s">
        <v>2656</v>
      </c>
      <c r="I1197" s="3">
        <v>21</v>
      </c>
      <c r="J1197" s="4">
        <v>41453</v>
      </c>
      <c r="K1197" s="6">
        <v>0.47916666666666669</v>
      </c>
      <c r="L1197" s="3">
        <v>27</v>
      </c>
      <c r="M1197" s="3" t="s">
        <v>2110</v>
      </c>
      <c r="N1197" s="3" t="s">
        <v>2110</v>
      </c>
      <c r="O1197" s="5"/>
      <c r="P1197" s="3" t="s">
        <v>22</v>
      </c>
      <c r="Q1197" s="7"/>
      <c r="R1197" s="7"/>
    </row>
    <row r="1198" spans="1:18" ht="102" x14ac:dyDescent="0.25">
      <c r="A1198" s="3" t="s">
        <v>18</v>
      </c>
      <c r="B1198" s="3">
        <v>2013</v>
      </c>
      <c r="C1198" s="3" t="s">
        <v>2058</v>
      </c>
      <c r="D1198" s="3" t="str">
        <f>"359 / 2013"</f>
        <v>359 / 2013</v>
      </c>
      <c r="E1198" s="4">
        <v>41463</v>
      </c>
      <c r="F1198" s="3" t="s">
        <v>2657</v>
      </c>
      <c r="G1198" s="5"/>
      <c r="H1198" s="3" t="s">
        <v>2658</v>
      </c>
      <c r="I1198" s="3">
        <v>21</v>
      </c>
      <c r="J1198" s="4">
        <v>41453</v>
      </c>
      <c r="K1198" s="6">
        <v>0.47916666666666669</v>
      </c>
      <c r="L1198" s="3">
        <v>28</v>
      </c>
      <c r="M1198" s="3" t="s">
        <v>2519</v>
      </c>
      <c r="N1198" s="3" t="s">
        <v>2519</v>
      </c>
      <c r="O1198" s="5"/>
      <c r="P1198" s="3" t="s">
        <v>22</v>
      </c>
      <c r="Q1198" s="7"/>
      <c r="R1198" s="7"/>
    </row>
    <row r="1199" spans="1:18" ht="76.5" x14ac:dyDescent="0.25">
      <c r="A1199" s="3" t="s">
        <v>18</v>
      </c>
      <c r="B1199" s="3">
        <v>2013</v>
      </c>
      <c r="C1199" s="3" t="s">
        <v>2058</v>
      </c>
      <c r="D1199" s="3" t="str">
        <f>"36 / 2013"</f>
        <v>36 / 2013</v>
      </c>
      <c r="E1199" s="4">
        <v>41313</v>
      </c>
      <c r="F1199" s="3" t="s">
        <v>2659</v>
      </c>
      <c r="G1199" s="5"/>
      <c r="H1199" s="3" t="s">
        <v>2660</v>
      </c>
      <c r="I1199" s="3">
        <v>4</v>
      </c>
      <c r="J1199" s="4">
        <v>41312</v>
      </c>
      <c r="K1199" s="6">
        <v>0.5</v>
      </c>
      <c r="L1199" s="3">
        <v>9</v>
      </c>
      <c r="M1199" s="3" t="s">
        <v>2549</v>
      </c>
      <c r="N1199" s="3" t="s">
        <v>2549</v>
      </c>
      <c r="O1199" s="5"/>
      <c r="P1199" s="3" t="s">
        <v>22</v>
      </c>
      <c r="Q1199" s="7"/>
      <c r="R1199" s="7"/>
    </row>
    <row r="1200" spans="1:18" ht="38.25" x14ac:dyDescent="0.25">
      <c r="A1200" s="3" t="s">
        <v>18</v>
      </c>
      <c r="B1200" s="3">
        <v>2013</v>
      </c>
      <c r="C1200" s="3" t="s">
        <v>2058</v>
      </c>
      <c r="D1200" s="3" t="str">
        <f>"360 / 2013"</f>
        <v>360 / 2013</v>
      </c>
      <c r="E1200" s="4">
        <v>41456</v>
      </c>
      <c r="F1200" s="3" t="s">
        <v>2661</v>
      </c>
      <c r="G1200" s="5"/>
      <c r="H1200" s="3" t="s">
        <v>2662</v>
      </c>
      <c r="I1200" s="3">
        <v>21</v>
      </c>
      <c r="J1200" s="4">
        <v>41453</v>
      </c>
      <c r="K1200" s="6">
        <v>0.47916666666666669</v>
      </c>
      <c r="L1200" s="3">
        <v>29</v>
      </c>
      <c r="M1200" s="3" t="s">
        <v>2110</v>
      </c>
      <c r="N1200" s="3" t="s">
        <v>2110</v>
      </c>
      <c r="O1200" s="5"/>
      <c r="P1200" s="3" t="s">
        <v>22</v>
      </c>
      <c r="Q1200" s="7"/>
      <c r="R1200" s="7"/>
    </row>
    <row r="1201" spans="1:18" ht="63.75" x14ac:dyDescent="0.25">
      <c r="A1201" s="3" t="s">
        <v>18</v>
      </c>
      <c r="B1201" s="3">
        <v>2013</v>
      </c>
      <c r="C1201" s="3" t="s">
        <v>2058</v>
      </c>
      <c r="D1201" s="3" t="str">
        <f>"361 / 2013"</f>
        <v>361 / 2013</v>
      </c>
      <c r="E1201" s="4">
        <v>41463</v>
      </c>
      <c r="F1201" s="3" t="s">
        <v>2663</v>
      </c>
      <c r="G1201" s="5"/>
      <c r="H1201" s="3" t="s">
        <v>2664</v>
      </c>
      <c r="I1201" s="3">
        <v>21</v>
      </c>
      <c r="J1201" s="4">
        <v>41453</v>
      </c>
      <c r="K1201" s="6">
        <v>0.47916666666666669</v>
      </c>
      <c r="L1201" s="3">
        <v>30</v>
      </c>
      <c r="M1201" s="3" t="s">
        <v>2665</v>
      </c>
      <c r="N1201" s="3" t="s">
        <v>2665</v>
      </c>
      <c r="O1201" s="5"/>
      <c r="P1201" s="3" t="s">
        <v>22</v>
      </c>
      <c r="Q1201" s="7"/>
      <c r="R1201" s="7"/>
    </row>
    <row r="1202" spans="1:18" ht="89.25" x14ac:dyDescent="0.25">
      <c r="A1202" s="3" t="s">
        <v>18</v>
      </c>
      <c r="B1202" s="3">
        <v>2013</v>
      </c>
      <c r="C1202" s="3" t="s">
        <v>2058</v>
      </c>
      <c r="D1202" s="3" t="str">
        <f>"362 / 2013"</f>
        <v>362 / 2013</v>
      </c>
      <c r="E1202" s="4">
        <v>41459</v>
      </c>
      <c r="F1202" s="3" t="s">
        <v>2666</v>
      </c>
      <c r="G1202" s="5"/>
      <c r="H1202" s="3" t="s">
        <v>2667</v>
      </c>
      <c r="I1202" s="3">
        <v>21</v>
      </c>
      <c r="J1202" s="4">
        <v>41453</v>
      </c>
      <c r="K1202" s="6">
        <v>0.47916666666666669</v>
      </c>
      <c r="L1202" s="3">
        <v>31</v>
      </c>
      <c r="M1202" s="3" t="s">
        <v>2668</v>
      </c>
      <c r="N1202" s="3" t="s">
        <v>2668</v>
      </c>
      <c r="O1202" s="5"/>
      <c r="P1202" s="3" t="s">
        <v>22</v>
      </c>
      <c r="Q1202" s="7"/>
      <c r="R1202" s="7"/>
    </row>
    <row r="1203" spans="1:18" ht="76.5" x14ac:dyDescent="0.25">
      <c r="A1203" s="3" t="s">
        <v>18</v>
      </c>
      <c r="B1203" s="3">
        <v>2013</v>
      </c>
      <c r="C1203" s="3" t="s">
        <v>2058</v>
      </c>
      <c r="D1203" s="3" t="str">
        <f>"363 / 2013"</f>
        <v>363 / 2013</v>
      </c>
      <c r="E1203" s="4">
        <v>41472</v>
      </c>
      <c r="F1203" s="3" t="s">
        <v>2669</v>
      </c>
      <c r="G1203" s="5"/>
      <c r="H1203" s="3" t="s">
        <v>2670</v>
      </c>
      <c r="I1203" s="3">
        <v>21</v>
      </c>
      <c r="J1203" s="4">
        <v>41453</v>
      </c>
      <c r="K1203" s="6">
        <v>0.47916666666666669</v>
      </c>
      <c r="L1203" s="3">
        <v>32</v>
      </c>
      <c r="M1203" s="3" t="s">
        <v>2671</v>
      </c>
      <c r="N1203" s="3" t="s">
        <v>2671</v>
      </c>
      <c r="O1203" s="5"/>
      <c r="P1203" s="3" t="s">
        <v>22</v>
      </c>
      <c r="Q1203" s="7"/>
      <c r="R1203" s="7"/>
    </row>
    <row r="1204" spans="1:18" ht="63.75" x14ac:dyDescent="0.25">
      <c r="A1204" s="3" t="s">
        <v>18</v>
      </c>
      <c r="B1204" s="3">
        <v>2013</v>
      </c>
      <c r="C1204" s="3" t="s">
        <v>2058</v>
      </c>
      <c r="D1204" s="3" t="str">
        <f>"364 / 2013"</f>
        <v>364 / 2013</v>
      </c>
      <c r="E1204" s="4">
        <v>41477</v>
      </c>
      <c r="F1204" s="3" t="s">
        <v>2672</v>
      </c>
      <c r="G1204" s="5"/>
      <c r="H1204" s="3" t="s">
        <v>2673</v>
      </c>
      <c r="I1204" s="3">
        <v>22</v>
      </c>
      <c r="J1204" s="4">
        <v>41466</v>
      </c>
      <c r="K1204" s="6">
        <v>0.47916666666666669</v>
      </c>
      <c r="L1204" s="3">
        <v>1</v>
      </c>
      <c r="M1204" s="3" t="s">
        <v>2099</v>
      </c>
      <c r="N1204" s="3" t="s">
        <v>2099</v>
      </c>
      <c r="O1204" s="5"/>
      <c r="P1204" s="3" t="s">
        <v>22</v>
      </c>
      <c r="Q1204" s="7"/>
      <c r="R1204" s="7"/>
    </row>
    <row r="1205" spans="1:18" ht="102" x14ac:dyDescent="0.25">
      <c r="A1205" s="3" t="s">
        <v>18</v>
      </c>
      <c r="B1205" s="3">
        <v>2013</v>
      </c>
      <c r="C1205" s="3" t="s">
        <v>2058</v>
      </c>
      <c r="D1205" s="3" t="str">
        <f>"365 / 2013"</f>
        <v>365 / 2013</v>
      </c>
      <c r="E1205" s="4">
        <v>41477</v>
      </c>
      <c r="F1205" s="3" t="s">
        <v>2674</v>
      </c>
      <c r="G1205" s="5"/>
      <c r="H1205" s="3" t="s">
        <v>2675</v>
      </c>
      <c r="I1205" s="3">
        <v>22</v>
      </c>
      <c r="J1205" s="4">
        <v>41466</v>
      </c>
      <c r="K1205" s="6">
        <v>0.47916666666666669</v>
      </c>
      <c r="L1205" s="3">
        <v>2</v>
      </c>
      <c r="M1205" s="3" t="s">
        <v>2129</v>
      </c>
      <c r="N1205" s="3" t="s">
        <v>2129</v>
      </c>
      <c r="O1205" s="5"/>
      <c r="P1205" s="3" t="s">
        <v>22</v>
      </c>
      <c r="Q1205" s="7"/>
      <c r="R1205" s="7"/>
    </row>
    <row r="1206" spans="1:18" ht="38.25" x14ac:dyDescent="0.25">
      <c r="A1206" s="3" t="s">
        <v>18</v>
      </c>
      <c r="B1206" s="3">
        <v>2013</v>
      </c>
      <c r="C1206" s="3" t="s">
        <v>2058</v>
      </c>
      <c r="D1206" s="3" t="str">
        <f>"366 / 2013"</f>
        <v>366 / 2013</v>
      </c>
      <c r="E1206" s="4">
        <v>41481</v>
      </c>
      <c r="F1206" s="3" t="s">
        <v>2676</v>
      </c>
      <c r="G1206" s="5"/>
      <c r="H1206" s="3" t="s">
        <v>2677</v>
      </c>
      <c r="I1206" s="3">
        <v>22</v>
      </c>
      <c r="J1206" s="4">
        <v>41466</v>
      </c>
      <c r="K1206" s="6">
        <v>0.47916666666666669</v>
      </c>
      <c r="L1206" s="3">
        <v>3</v>
      </c>
      <c r="M1206" s="3" t="s">
        <v>2678</v>
      </c>
      <c r="N1206" s="3" t="s">
        <v>2678</v>
      </c>
      <c r="O1206" s="5"/>
      <c r="P1206" s="3" t="s">
        <v>22</v>
      </c>
      <c r="Q1206" s="7"/>
      <c r="R1206" s="7"/>
    </row>
    <row r="1207" spans="1:18" ht="63.75" x14ac:dyDescent="0.25">
      <c r="A1207" s="3" t="s">
        <v>18</v>
      </c>
      <c r="B1207" s="3">
        <v>2013</v>
      </c>
      <c r="C1207" s="3" t="s">
        <v>2058</v>
      </c>
      <c r="D1207" s="3" t="str">
        <f>"367 / 2013"</f>
        <v>367 / 2013</v>
      </c>
      <c r="E1207" s="4">
        <v>41477</v>
      </c>
      <c r="F1207" s="3" t="s">
        <v>2679</v>
      </c>
      <c r="G1207" s="5"/>
      <c r="H1207" s="3" t="s">
        <v>2680</v>
      </c>
      <c r="I1207" s="3">
        <v>22</v>
      </c>
      <c r="J1207" s="4">
        <v>41466</v>
      </c>
      <c r="K1207" s="6">
        <v>0.47916666666666669</v>
      </c>
      <c r="L1207" s="3">
        <v>4</v>
      </c>
      <c r="M1207" s="3" t="s">
        <v>2099</v>
      </c>
      <c r="N1207" s="3" t="s">
        <v>2099</v>
      </c>
      <c r="O1207" s="5"/>
      <c r="P1207" s="3" t="s">
        <v>22</v>
      </c>
      <c r="Q1207" s="7"/>
      <c r="R1207" s="7"/>
    </row>
    <row r="1208" spans="1:18" ht="51" x14ac:dyDescent="0.25">
      <c r="A1208" s="3" t="s">
        <v>18</v>
      </c>
      <c r="B1208" s="3">
        <v>2013</v>
      </c>
      <c r="C1208" s="3" t="s">
        <v>2058</v>
      </c>
      <c r="D1208" s="3" t="str">
        <f>"368 / 2013"</f>
        <v>368 / 2013</v>
      </c>
      <c r="E1208" s="4">
        <v>41478</v>
      </c>
      <c r="F1208" s="3" t="s">
        <v>2681</v>
      </c>
      <c r="G1208" s="5"/>
      <c r="H1208" s="3" t="s">
        <v>2682</v>
      </c>
      <c r="I1208" s="3">
        <v>22</v>
      </c>
      <c r="J1208" s="4">
        <v>41466</v>
      </c>
      <c r="K1208" s="6">
        <v>0.47916666666666669</v>
      </c>
      <c r="L1208" s="3">
        <v>5</v>
      </c>
      <c r="M1208" s="3" t="s">
        <v>2110</v>
      </c>
      <c r="N1208" s="3" t="s">
        <v>2110</v>
      </c>
      <c r="O1208" s="5"/>
      <c r="P1208" s="3" t="s">
        <v>22</v>
      </c>
      <c r="Q1208" s="7"/>
      <c r="R1208" s="7"/>
    </row>
    <row r="1209" spans="1:18" ht="51" x14ac:dyDescent="0.25">
      <c r="A1209" s="3" t="s">
        <v>18</v>
      </c>
      <c r="B1209" s="3">
        <v>2013</v>
      </c>
      <c r="C1209" s="3" t="s">
        <v>2058</v>
      </c>
      <c r="D1209" s="3" t="str">
        <f>"369/ 2013"</f>
        <v>369/ 2013</v>
      </c>
      <c r="E1209" s="4">
        <v>41477</v>
      </c>
      <c r="F1209" s="3" t="s">
        <v>2683</v>
      </c>
      <c r="G1209" s="5"/>
      <c r="H1209" s="3" t="s">
        <v>2684</v>
      </c>
      <c r="I1209" s="3">
        <v>22</v>
      </c>
      <c r="J1209" s="4">
        <v>41466</v>
      </c>
      <c r="K1209" s="6">
        <v>0.47916666666666669</v>
      </c>
      <c r="L1209" s="3">
        <v>6</v>
      </c>
      <c r="M1209" s="3" t="s">
        <v>2110</v>
      </c>
      <c r="N1209" s="3" t="s">
        <v>2110</v>
      </c>
      <c r="O1209" s="5"/>
      <c r="P1209" s="3" t="s">
        <v>22</v>
      </c>
      <c r="Q1209" s="7"/>
      <c r="R1209" s="7"/>
    </row>
    <row r="1210" spans="1:18" ht="89.25" x14ac:dyDescent="0.25">
      <c r="A1210" s="3" t="s">
        <v>18</v>
      </c>
      <c r="B1210" s="3">
        <v>2013</v>
      </c>
      <c r="C1210" s="3" t="s">
        <v>2058</v>
      </c>
      <c r="D1210" s="3" t="str">
        <f>"37 / 2013"</f>
        <v>37 / 2013</v>
      </c>
      <c r="E1210" s="4">
        <v>41323</v>
      </c>
      <c r="F1210" s="3" t="s">
        <v>2685</v>
      </c>
      <c r="G1210" s="5"/>
      <c r="H1210" s="3" t="s">
        <v>2686</v>
      </c>
      <c r="I1210" s="3">
        <v>4</v>
      </c>
      <c r="J1210" s="4">
        <v>41312</v>
      </c>
      <c r="K1210" s="6">
        <v>0.5</v>
      </c>
      <c r="L1210" s="3">
        <v>10</v>
      </c>
      <c r="M1210" s="3" t="s">
        <v>35</v>
      </c>
      <c r="N1210" s="3" t="s">
        <v>35</v>
      </c>
      <c r="O1210" s="5"/>
      <c r="P1210" s="3" t="s">
        <v>22</v>
      </c>
      <c r="Q1210" s="7"/>
      <c r="R1210" s="7"/>
    </row>
    <row r="1211" spans="1:18" ht="140.25" x14ac:dyDescent="0.25">
      <c r="A1211" s="3" t="s">
        <v>18</v>
      </c>
      <c r="B1211" s="3">
        <v>2013</v>
      </c>
      <c r="C1211" s="3" t="s">
        <v>2058</v>
      </c>
      <c r="D1211" s="3" t="str">
        <f>"370 / 2013"</f>
        <v>370 / 2013</v>
      </c>
      <c r="E1211" s="4">
        <v>41477</v>
      </c>
      <c r="F1211" s="3" t="s">
        <v>2687</v>
      </c>
      <c r="G1211" s="5"/>
      <c r="H1211" s="3" t="s">
        <v>2688</v>
      </c>
      <c r="I1211" s="3">
        <v>22</v>
      </c>
      <c r="J1211" s="4">
        <v>41466</v>
      </c>
      <c r="K1211" s="6">
        <v>0.47916666666666669</v>
      </c>
      <c r="L1211" s="3">
        <v>7</v>
      </c>
      <c r="M1211" s="3" t="s">
        <v>2088</v>
      </c>
      <c r="N1211" s="3" t="s">
        <v>2088</v>
      </c>
      <c r="O1211" s="5"/>
      <c r="P1211" s="3" t="s">
        <v>22</v>
      </c>
      <c r="Q1211" s="7"/>
      <c r="R1211" s="7"/>
    </row>
    <row r="1212" spans="1:18" ht="89.25" x14ac:dyDescent="0.25">
      <c r="A1212" s="3" t="s">
        <v>18</v>
      </c>
      <c r="B1212" s="3">
        <v>2013</v>
      </c>
      <c r="C1212" s="3" t="s">
        <v>2058</v>
      </c>
      <c r="D1212" s="3" t="str">
        <f>"371 / 2013"</f>
        <v>371 / 2013</v>
      </c>
      <c r="E1212" s="4">
        <v>41467</v>
      </c>
      <c r="F1212" s="3" t="s">
        <v>2689</v>
      </c>
      <c r="G1212" s="5"/>
      <c r="H1212" s="3" t="s">
        <v>2690</v>
      </c>
      <c r="I1212" s="3">
        <v>22</v>
      </c>
      <c r="J1212" s="4">
        <v>41466</v>
      </c>
      <c r="K1212" s="6">
        <v>0.47916666666666669</v>
      </c>
      <c r="L1212" s="3">
        <v>8</v>
      </c>
      <c r="M1212" s="3" t="s">
        <v>2691</v>
      </c>
      <c r="N1212" s="3" t="s">
        <v>2691</v>
      </c>
      <c r="O1212" s="5"/>
      <c r="P1212" s="3" t="s">
        <v>22</v>
      </c>
      <c r="Q1212" s="7"/>
      <c r="R1212" s="7"/>
    </row>
    <row r="1213" spans="1:18" ht="76.5" x14ac:dyDescent="0.25">
      <c r="A1213" s="3" t="s">
        <v>18</v>
      </c>
      <c r="B1213" s="3">
        <v>2013</v>
      </c>
      <c r="C1213" s="3" t="s">
        <v>2058</v>
      </c>
      <c r="D1213" s="3" t="str">
        <f>"373 / 2013"</f>
        <v>373 / 2013</v>
      </c>
      <c r="E1213" s="4">
        <v>41486</v>
      </c>
      <c r="F1213" s="3" t="s">
        <v>2692</v>
      </c>
      <c r="G1213" s="5"/>
      <c r="H1213" s="3" t="s">
        <v>2693</v>
      </c>
      <c r="I1213" s="3">
        <v>22</v>
      </c>
      <c r="J1213" s="4">
        <v>41466</v>
      </c>
      <c r="K1213" s="6">
        <v>0.47916666666666669</v>
      </c>
      <c r="L1213" s="3">
        <v>10</v>
      </c>
      <c r="M1213" s="3" t="s">
        <v>2211</v>
      </c>
      <c r="N1213" s="3" t="s">
        <v>2211</v>
      </c>
      <c r="O1213" s="5"/>
      <c r="P1213" s="3" t="s">
        <v>22</v>
      </c>
      <c r="Q1213" s="7"/>
      <c r="R1213" s="7"/>
    </row>
    <row r="1214" spans="1:18" ht="102" x14ac:dyDescent="0.25">
      <c r="A1214" s="3" t="s">
        <v>18</v>
      </c>
      <c r="B1214" s="3">
        <v>2013</v>
      </c>
      <c r="C1214" s="3" t="s">
        <v>2058</v>
      </c>
      <c r="D1214" s="3" t="str">
        <f>"374 / 2013"</f>
        <v>374 / 2013</v>
      </c>
      <c r="E1214" s="4">
        <v>41481</v>
      </c>
      <c r="F1214" s="3" t="s">
        <v>2694</v>
      </c>
      <c r="G1214" s="5"/>
      <c r="H1214" s="3" t="s">
        <v>2695</v>
      </c>
      <c r="I1214" s="3">
        <v>22</v>
      </c>
      <c r="J1214" s="4">
        <v>41466</v>
      </c>
      <c r="K1214" s="6">
        <v>0.47916666666666669</v>
      </c>
      <c r="L1214" s="3">
        <v>11</v>
      </c>
      <c r="M1214" s="3" t="s">
        <v>2696</v>
      </c>
      <c r="N1214" s="3" t="s">
        <v>2696</v>
      </c>
      <c r="O1214" s="5"/>
      <c r="P1214" s="3" t="s">
        <v>22</v>
      </c>
      <c r="Q1214" s="7"/>
      <c r="R1214" s="7"/>
    </row>
    <row r="1215" spans="1:18" ht="76.5" x14ac:dyDescent="0.25">
      <c r="A1215" s="3" t="s">
        <v>18</v>
      </c>
      <c r="B1215" s="3">
        <v>2013</v>
      </c>
      <c r="C1215" s="3" t="s">
        <v>2058</v>
      </c>
      <c r="D1215" s="3" t="str">
        <f>"375 / 2013"</f>
        <v>375 / 2013</v>
      </c>
      <c r="E1215" s="4">
        <v>41478</v>
      </c>
      <c r="F1215" s="3" t="s">
        <v>2697</v>
      </c>
      <c r="G1215" s="5"/>
      <c r="H1215" s="3" t="s">
        <v>2698</v>
      </c>
      <c r="I1215" s="3">
        <v>22</v>
      </c>
      <c r="J1215" s="4">
        <v>41466</v>
      </c>
      <c r="K1215" s="6">
        <v>0.47916666666666669</v>
      </c>
      <c r="L1215" s="3">
        <v>12</v>
      </c>
      <c r="M1215" s="3" t="s">
        <v>2105</v>
      </c>
      <c r="N1215" s="3" t="s">
        <v>2105</v>
      </c>
      <c r="O1215" s="5"/>
      <c r="P1215" s="3" t="s">
        <v>22</v>
      </c>
      <c r="Q1215" s="7"/>
      <c r="R1215" s="7"/>
    </row>
    <row r="1216" spans="1:18" ht="51" x14ac:dyDescent="0.25">
      <c r="A1216" s="3" t="s">
        <v>18</v>
      </c>
      <c r="B1216" s="3">
        <v>2013</v>
      </c>
      <c r="C1216" s="3" t="s">
        <v>2058</v>
      </c>
      <c r="D1216" s="3" t="str">
        <f>"376 / 2013"</f>
        <v>376 / 2013</v>
      </c>
      <c r="E1216" s="4">
        <v>41481</v>
      </c>
      <c r="F1216" s="3" t="s">
        <v>2699</v>
      </c>
      <c r="G1216" s="5"/>
      <c r="H1216" s="3" t="s">
        <v>2700</v>
      </c>
      <c r="I1216" s="3">
        <v>22</v>
      </c>
      <c r="J1216" s="4">
        <v>41466</v>
      </c>
      <c r="K1216" s="6">
        <v>0.47916666666666669</v>
      </c>
      <c r="L1216" s="3">
        <v>13</v>
      </c>
      <c r="M1216" s="3" t="s">
        <v>2110</v>
      </c>
      <c r="N1216" s="3" t="s">
        <v>2110</v>
      </c>
      <c r="O1216" s="5"/>
      <c r="P1216" s="3" t="s">
        <v>22</v>
      </c>
      <c r="Q1216" s="7"/>
      <c r="R1216" s="7"/>
    </row>
    <row r="1217" spans="1:18" ht="102" x14ac:dyDescent="0.25">
      <c r="A1217" s="3" t="s">
        <v>18</v>
      </c>
      <c r="B1217" s="3">
        <v>2013</v>
      </c>
      <c r="C1217" s="3" t="s">
        <v>2058</v>
      </c>
      <c r="D1217" s="3" t="str">
        <f>"377 / 2013"</f>
        <v>377 / 2013</v>
      </c>
      <c r="E1217" s="4">
        <v>41471</v>
      </c>
      <c r="F1217" s="3" t="s">
        <v>2701</v>
      </c>
      <c r="G1217" s="5"/>
      <c r="H1217" s="3" t="s">
        <v>2702</v>
      </c>
      <c r="I1217" s="3">
        <v>22</v>
      </c>
      <c r="J1217" s="4">
        <v>41466</v>
      </c>
      <c r="K1217" s="6">
        <v>0.47916666666666669</v>
      </c>
      <c r="L1217" s="3">
        <v>14</v>
      </c>
      <c r="M1217" s="3" t="s">
        <v>2507</v>
      </c>
      <c r="N1217" s="3" t="s">
        <v>2507</v>
      </c>
      <c r="O1217" s="5"/>
      <c r="P1217" s="3" t="s">
        <v>22</v>
      </c>
      <c r="Q1217" s="7"/>
      <c r="R1217" s="7"/>
    </row>
    <row r="1218" spans="1:18" ht="89.25" x14ac:dyDescent="0.25">
      <c r="A1218" s="3" t="s">
        <v>18</v>
      </c>
      <c r="B1218" s="3">
        <v>2013</v>
      </c>
      <c r="C1218" s="3" t="s">
        <v>2058</v>
      </c>
      <c r="D1218" s="3" t="str">
        <f>"378 / 2013"</f>
        <v>378 / 2013</v>
      </c>
      <c r="E1218" s="4">
        <v>41508</v>
      </c>
      <c r="F1218" s="3" t="s">
        <v>2703</v>
      </c>
      <c r="G1218" s="5"/>
      <c r="H1218" s="3" t="s">
        <v>2704</v>
      </c>
      <c r="I1218" s="3">
        <v>22</v>
      </c>
      <c r="J1218" s="4">
        <v>41466</v>
      </c>
      <c r="K1218" s="6">
        <v>0.47916666666666669</v>
      </c>
      <c r="L1218" s="3">
        <v>15</v>
      </c>
      <c r="M1218" s="3" t="s">
        <v>2705</v>
      </c>
      <c r="N1218" s="3" t="s">
        <v>2705</v>
      </c>
      <c r="O1218" s="5"/>
      <c r="P1218" s="3" t="s">
        <v>22</v>
      </c>
      <c r="Q1218" s="7"/>
      <c r="R1218" s="7"/>
    </row>
    <row r="1219" spans="1:18" ht="140.25" x14ac:dyDescent="0.25">
      <c r="A1219" s="3" t="s">
        <v>18</v>
      </c>
      <c r="B1219" s="3">
        <v>2013</v>
      </c>
      <c r="C1219" s="3" t="s">
        <v>2058</v>
      </c>
      <c r="D1219" s="3" t="str">
        <f>"379 / 2013"</f>
        <v>379 / 2013</v>
      </c>
      <c r="E1219" s="4">
        <v>41508</v>
      </c>
      <c r="F1219" s="3" t="s">
        <v>2706</v>
      </c>
      <c r="G1219" s="5"/>
      <c r="H1219" s="3" t="s">
        <v>2707</v>
      </c>
      <c r="I1219" s="3">
        <v>22</v>
      </c>
      <c r="J1219" s="4">
        <v>41466</v>
      </c>
      <c r="K1219" s="6">
        <v>0.47916666666666669</v>
      </c>
      <c r="L1219" s="3">
        <v>16</v>
      </c>
      <c r="M1219" s="3" t="s">
        <v>2705</v>
      </c>
      <c r="N1219" s="3" t="s">
        <v>2705</v>
      </c>
      <c r="O1219" s="5"/>
      <c r="P1219" s="3" t="s">
        <v>22</v>
      </c>
      <c r="Q1219" s="7"/>
      <c r="R1219" s="7"/>
    </row>
    <row r="1220" spans="1:18" ht="89.25" x14ac:dyDescent="0.25">
      <c r="A1220" s="3" t="s">
        <v>18</v>
      </c>
      <c r="B1220" s="3">
        <v>2013</v>
      </c>
      <c r="C1220" s="3" t="s">
        <v>2058</v>
      </c>
      <c r="D1220" s="3" t="str">
        <f>"38 / 2013"</f>
        <v>38 / 2013</v>
      </c>
      <c r="E1220" s="4">
        <v>41323</v>
      </c>
      <c r="F1220" s="3" t="s">
        <v>2708</v>
      </c>
      <c r="G1220" s="5"/>
      <c r="H1220" s="3" t="s">
        <v>2709</v>
      </c>
      <c r="I1220" s="3">
        <v>4</v>
      </c>
      <c r="J1220" s="4">
        <v>41312</v>
      </c>
      <c r="K1220" s="6">
        <v>0.5</v>
      </c>
      <c r="L1220" s="3">
        <v>11</v>
      </c>
      <c r="M1220" s="3" t="s">
        <v>35</v>
      </c>
      <c r="N1220" s="3" t="s">
        <v>35</v>
      </c>
      <c r="O1220" s="5"/>
      <c r="P1220" s="3" t="s">
        <v>22</v>
      </c>
      <c r="Q1220" s="7"/>
      <c r="R1220" s="7"/>
    </row>
    <row r="1221" spans="1:18" ht="51" x14ac:dyDescent="0.25">
      <c r="A1221" s="3" t="s">
        <v>18</v>
      </c>
      <c r="B1221" s="3">
        <v>2013</v>
      </c>
      <c r="C1221" s="3" t="s">
        <v>2058</v>
      </c>
      <c r="D1221" s="3" t="str">
        <f>"380 / 2013"</f>
        <v>380 / 2013</v>
      </c>
      <c r="E1221" s="4">
        <v>41484</v>
      </c>
      <c r="F1221" s="3" t="s">
        <v>2710</v>
      </c>
      <c r="G1221" s="5"/>
      <c r="H1221" s="3" t="s">
        <v>2711</v>
      </c>
      <c r="I1221" s="3">
        <v>22</v>
      </c>
      <c r="J1221" s="4">
        <v>41466</v>
      </c>
      <c r="K1221" s="6">
        <v>0.47916666666666669</v>
      </c>
      <c r="L1221" s="3">
        <v>17</v>
      </c>
      <c r="M1221" s="3" t="s">
        <v>2061</v>
      </c>
      <c r="N1221" s="3" t="s">
        <v>2061</v>
      </c>
      <c r="O1221" s="5"/>
      <c r="P1221" s="3" t="s">
        <v>22</v>
      </c>
      <c r="Q1221" s="7"/>
      <c r="R1221" s="7"/>
    </row>
    <row r="1222" spans="1:18" ht="89.25" x14ac:dyDescent="0.25">
      <c r="A1222" s="3" t="s">
        <v>18</v>
      </c>
      <c r="B1222" s="3">
        <v>2013</v>
      </c>
      <c r="C1222" s="3" t="s">
        <v>2058</v>
      </c>
      <c r="D1222" s="3" t="str">
        <f>"381 / 2013"</f>
        <v>381 / 2013</v>
      </c>
      <c r="E1222" s="4">
        <v>41495</v>
      </c>
      <c r="F1222" s="3" t="s">
        <v>2712</v>
      </c>
      <c r="G1222" s="5"/>
      <c r="H1222" s="3" t="s">
        <v>2713</v>
      </c>
      <c r="I1222" s="3">
        <v>22</v>
      </c>
      <c r="J1222" s="4">
        <v>41466</v>
      </c>
      <c r="K1222" s="6">
        <v>0.47916666666666669</v>
      </c>
      <c r="L1222" s="3">
        <v>18</v>
      </c>
      <c r="M1222" s="3" t="s">
        <v>2061</v>
      </c>
      <c r="N1222" s="3" t="s">
        <v>2061</v>
      </c>
      <c r="O1222" s="5"/>
      <c r="P1222" s="3" t="s">
        <v>22</v>
      </c>
      <c r="Q1222" s="7"/>
      <c r="R1222" s="7"/>
    </row>
    <row r="1223" spans="1:18" ht="178.5" x14ac:dyDescent="0.25">
      <c r="A1223" s="3" t="s">
        <v>18</v>
      </c>
      <c r="B1223" s="3">
        <v>2013</v>
      </c>
      <c r="C1223" s="3" t="s">
        <v>2058</v>
      </c>
      <c r="D1223" s="3" t="str">
        <f>"382 / 2013"</f>
        <v>382 / 2013</v>
      </c>
      <c r="E1223" s="4">
        <v>41492</v>
      </c>
      <c r="F1223" s="3" t="s">
        <v>2714</v>
      </c>
      <c r="G1223" s="5"/>
      <c r="H1223" s="3" t="s">
        <v>2715</v>
      </c>
      <c r="I1223" s="3">
        <v>22</v>
      </c>
      <c r="J1223" s="4">
        <v>41466</v>
      </c>
      <c r="K1223" s="6">
        <v>0.47916666666666669</v>
      </c>
      <c r="L1223" s="3">
        <v>19</v>
      </c>
      <c r="M1223" s="3" t="s">
        <v>2564</v>
      </c>
      <c r="N1223" s="3" t="s">
        <v>2564</v>
      </c>
      <c r="O1223" s="5"/>
      <c r="P1223" s="3" t="s">
        <v>22</v>
      </c>
      <c r="Q1223" s="7"/>
      <c r="R1223" s="7"/>
    </row>
    <row r="1224" spans="1:18" ht="89.25" x14ac:dyDescent="0.25">
      <c r="A1224" s="3" t="s">
        <v>18</v>
      </c>
      <c r="B1224" s="3">
        <v>2013</v>
      </c>
      <c r="C1224" s="3" t="s">
        <v>2058</v>
      </c>
      <c r="D1224" s="3" t="str">
        <f>"383 / 2013"</f>
        <v>383 / 2013</v>
      </c>
      <c r="E1224" s="4">
        <v>41493</v>
      </c>
      <c r="F1224" s="3" t="s">
        <v>2716</v>
      </c>
      <c r="G1224" s="5"/>
      <c r="H1224" s="3" t="s">
        <v>2717</v>
      </c>
      <c r="I1224" s="3">
        <v>22</v>
      </c>
      <c r="J1224" s="4">
        <v>41466</v>
      </c>
      <c r="K1224" s="6">
        <v>0.47916666666666669</v>
      </c>
      <c r="L1224" s="3">
        <v>20</v>
      </c>
      <c r="M1224" s="3" t="s">
        <v>2064</v>
      </c>
      <c r="N1224" s="3" t="s">
        <v>2064</v>
      </c>
      <c r="O1224" s="5"/>
      <c r="P1224" s="3" t="s">
        <v>22</v>
      </c>
      <c r="Q1224" s="7"/>
      <c r="R1224" s="7"/>
    </row>
    <row r="1225" spans="1:18" ht="102" x14ac:dyDescent="0.25">
      <c r="A1225" s="3" t="s">
        <v>18</v>
      </c>
      <c r="B1225" s="3">
        <v>2013</v>
      </c>
      <c r="C1225" s="3" t="s">
        <v>2058</v>
      </c>
      <c r="D1225" s="3" t="str">
        <f>"384 / 2013"</f>
        <v>384 / 2013</v>
      </c>
      <c r="E1225" s="4">
        <v>41508</v>
      </c>
      <c r="F1225" s="3" t="s">
        <v>2718</v>
      </c>
      <c r="G1225" s="5"/>
      <c r="H1225" s="3" t="s">
        <v>2719</v>
      </c>
      <c r="I1225" s="3">
        <v>22</v>
      </c>
      <c r="J1225" s="4">
        <v>41466</v>
      </c>
      <c r="K1225" s="6">
        <v>0.47916666666666669</v>
      </c>
      <c r="L1225" s="3">
        <v>21</v>
      </c>
      <c r="M1225" s="3" t="s">
        <v>2117</v>
      </c>
      <c r="N1225" s="3" t="s">
        <v>2117</v>
      </c>
      <c r="O1225" s="5"/>
      <c r="P1225" s="3" t="s">
        <v>22</v>
      </c>
      <c r="Q1225" s="7"/>
      <c r="R1225" s="7"/>
    </row>
    <row r="1226" spans="1:18" ht="102" x14ac:dyDescent="0.25">
      <c r="A1226" s="3" t="s">
        <v>18</v>
      </c>
      <c r="B1226" s="3">
        <v>2013</v>
      </c>
      <c r="C1226" s="3" t="s">
        <v>2058</v>
      </c>
      <c r="D1226" s="3" t="str">
        <f>"385/ 2013"</f>
        <v>385/ 2013</v>
      </c>
      <c r="E1226" s="4">
        <v>41478</v>
      </c>
      <c r="F1226" s="3" t="s">
        <v>2720</v>
      </c>
      <c r="G1226" s="5"/>
      <c r="H1226" s="3" t="s">
        <v>2721</v>
      </c>
      <c r="I1226" s="3">
        <v>22</v>
      </c>
      <c r="J1226" s="4">
        <v>41466</v>
      </c>
      <c r="K1226" s="6">
        <v>0.47916666666666669</v>
      </c>
      <c r="L1226" s="3">
        <v>22</v>
      </c>
      <c r="M1226" s="3" t="s">
        <v>2132</v>
      </c>
      <c r="N1226" s="3" t="s">
        <v>2132</v>
      </c>
      <c r="O1226" s="5"/>
      <c r="P1226" s="3" t="s">
        <v>22</v>
      </c>
      <c r="Q1226" s="7"/>
      <c r="R1226" s="7"/>
    </row>
    <row r="1227" spans="1:18" ht="51" x14ac:dyDescent="0.25">
      <c r="A1227" s="3" t="s">
        <v>18</v>
      </c>
      <c r="B1227" s="3">
        <v>2013</v>
      </c>
      <c r="C1227" s="3" t="s">
        <v>2058</v>
      </c>
      <c r="D1227" s="3" t="str">
        <f>"388 / 2013"</f>
        <v>388 / 2013</v>
      </c>
      <c r="E1227" s="4">
        <v>41467</v>
      </c>
      <c r="F1227" s="3" t="s">
        <v>2722</v>
      </c>
      <c r="G1227" s="5"/>
      <c r="H1227" s="3" t="s">
        <v>2723</v>
      </c>
      <c r="I1227" s="3">
        <v>22</v>
      </c>
      <c r="J1227" s="4">
        <v>41466</v>
      </c>
      <c r="K1227" s="6">
        <v>0.47916666666666669</v>
      </c>
      <c r="L1227" s="3">
        <v>25</v>
      </c>
      <c r="M1227" s="3" t="s">
        <v>2110</v>
      </c>
      <c r="N1227" s="3" t="s">
        <v>2110</v>
      </c>
      <c r="O1227" s="5"/>
      <c r="P1227" s="3" t="s">
        <v>22</v>
      </c>
      <c r="Q1227" s="7"/>
      <c r="R1227" s="7"/>
    </row>
    <row r="1228" spans="1:18" ht="76.5" x14ac:dyDescent="0.25">
      <c r="A1228" s="3" t="s">
        <v>18</v>
      </c>
      <c r="B1228" s="3">
        <v>2013</v>
      </c>
      <c r="C1228" s="3" t="s">
        <v>2058</v>
      </c>
      <c r="D1228" s="3" t="str">
        <f>"389 / 2013"</f>
        <v>389 / 2013</v>
      </c>
      <c r="E1228" s="4">
        <v>41478</v>
      </c>
      <c r="F1228" s="3" t="s">
        <v>2724</v>
      </c>
      <c r="G1228" s="5"/>
      <c r="H1228" s="3" t="s">
        <v>2725</v>
      </c>
      <c r="I1228" s="3">
        <v>22</v>
      </c>
      <c r="J1228" s="4">
        <v>41466</v>
      </c>
      <c r="K1228" s="6">
        <v>0.47916666666666669</v>
      </c>
      <c r="L1228" s="3">
        <v>26</v>
      </c>
      <c r="M1228" s="3" t="s">
        <v>2150</v>
      </c>
      <c r="N1228" s="3" t="s">
        <v>2150</v>
      </c>
      <c r="O1228" s="5"/>
      <c r="P1228" s="3" t="s">
        <v>22</v>
      </c>
      <c r="Q1228" s="7"/>
      <c r="R1228" s="7"/>
    </row>
    <row r="1229" spans="1:18" ht="89.25" x14ac:dyDescent="0.25">
      <c r="A1229" s="3" t="s">
        <v>18</v>
      </c>
      <c r="B1229" s="3">
        <v>2013</v>
      </c>
      <c r="C1229" s="3" t="s">
        <v>2058</v>
      </c>
      <c r="D1229" s="3" t="str">
        <f>"39 / 2013"</f>
        <v>39 / 2013</v>
      </c>
      <c r="E1229" s="4">
        <v>41323</v>
      </c>
      <c r="F1229" s="3" t="s">
        <v>2726</v>
      </c>
      <c r="G1229" s="5"/>
      <c r="H1229" s="3" t="s">
        <v>2727</v>
      </c>
      <c r="I1229" s="3">
        <v>4</v>
      </c>
      <c r="J1229" s="4">
        <v>41312</v>
      </c>
      <c r="K1229" s="6">
        <v>0.5</v>
      </c>
      <c r="L1229" s="3">
        <v>12</v>
      </c>
      <c r="M1229" s="3" t="s">
        <v>35</v>
      </c>
      <c r="N1229" s="3" t="s">
        <v>35</v>
      </c>
      <c r="O1229" s="5"/>
      <c r="P1229" s="3" t="s">
        <v>22</v>
      </c>
      <c r="Q1229" s="7"/>
      <c r="R1229" s="7"/>
    </row>
    <row r="1230" spans="1:18" ht="63.75" x14ac:dyDescent="0.25">
      <c r="A1230" s="3" t="s">
        <v>18</v>
      </c>
      <c r="B1230" s="3">
        <v>2013</v>
      </c>
      <c r="C1230" s="3" t="s">
        <v>2058</v>
      </c>
      <c r="D1230" s="3" t="str">
        <f>"390 / 2013"</f>
        <v>390 / 2013</v>
      </c>
      <c r="E1230" s="4">
        <v>41470</v>
      </c>
      <c r="F1230" s="3" t="s">
        <v>2728</v>
      </c>
      <c r="G1230" s="5"/>
      <c r="H1230" s="3" t="s">
        <v>2729</v>
      </c>
      <c r="I1230" s="3">
        <v>22</v>
      </c>
      <c r="J1230" s="4">
        <v>41466</v>
      </c>
      <c r="K1230" s="6">
        <v>0.47916666666666669</v>
      </c>
      <c r="L1230" s="3">
        <v>390</v>
      </c>
      <c r="M1230" s="3" t="s">
        <v>2110</v>
      </c>
      <c r="N1230" s="3" t="s">
        <v>2110</v>
      </c>
      <c r="O1230" s="5"/>
      <c r="P1230" s="3" t="s">
        <v>22</v>
      </c>
      <c r="Q1230" s="7"/>
      <c r="R1230" s="7"/>
    </row>
    <row r="1231" spans="1:18" ht="51" x14ac:dyDescent="0.25">
      <c r="A1231" s="3" t="s">
        <v>18</v>
      </c>
      <c r="B1231" s="3">
        <v>2013</v>
      </c>
      <c r="C1231" s="3" t="s">
        <v>2058</v>
      </c>
      <c r="D1231" s="3" t="str">
        <f>"391 / 2013"</f>
        <v>391 / 2013</v>
      </c>
      <c r="E1231" s="4">
        <v>41488</v>
      </c>
      <c r="F1231" s="3" t="s">
        <v>2730</v>
      </c>
      <c r="G1231" s="5"/>
      <c r="H1231" s="3" t="s">
        <v>2731</v>
      </c>
      <c r="I1231" s="3">
        <v>22</v>
      </c>
      <c r="J1231" s="4">
        <v>41466</v>
      </c>
      <c r="K1231" s="6">
        <v>0.47916666666666669</v>
      </c>
      <c r="L1231" s="5"/>
      <c r="M1231" s="3" t="s">
        <v>2099</v>
      </c>
      <c r="N1231" s="3" t="s">
        <v>2099</v>
      </c>
      <c r="O1231" s="5"/>
      <c r="P1231" s="3" t="s">
        <v>74</v>
      </c>
      <c r="Q1231" s="7"/>
      <c r="R1231" s="7"/>
    </row>
    <row r="1232" spans="1:18" ht="51" x14ac:dyDescent="0.25">
      <c r="A1232" s="3" t="s">
        <v>18</v>
      </c>
      <c r="B1232" s="3">
        <v>2013</v>
      </c>
      <c r="C1232" s="3" t="s">
        <v>2058</v>
      </c>
      <c r="D1232" s="3" t="str">
        <f>"392 / 2013"</f>
        <v>392 / 2013</v>
      </c>
      <c r="E1232" s="4">
        <v>41467</v>
      </c>
      <c r="F1232" s="3" t="s">
        <v>2732</v>
      </c>
      <c r="G1232" s="5"/>
      <c r="H1232" s="3" t="s">
        <v>2733</v>
      </c>
      <c r="I1232" s="3">
        <v>22</v>
      </c>
      <c r="J1232" s="4">
        <v>41466</v>
      </c>
      <c r="K1232" s="6">
        <v>0.47916666666666669</v>
      </c>
      <c r="L1232" s="5"/>
      <c r="M1232" s="3" t="s">
        <v>2110</v>
      </c>
      <c r="N1232" s="3" t="s">
        <v>2110</v>
      </c>
      <c r="O1232" s="5"/>
      <c r="P1232" s="3" t="s">
        <v>74</v>
      </c>
      <c r="Q1232" s="7"/>
      <c r="R1232" s="7"/>
    </row>
    <row r="1233" spans="1:18" ht="114.75" x14ac:dyDescent="0.25">
      <c r="A1233" s="3" t="s">
        <v>18</v>
      </c>
      <c r="B1233" s="3">
        <v>2013</v>
      </c>
      <c r="C1233" s="3" t="s">
        <v>2058</v>
      </c>
      <c r="D1233" s="3" t="str">
        <f>"393/ 2013"</f>
        <v>393/ 2013</v>
      </c>
      <c r="E1233" s="4">
        <v>41471</v>
      </c>
      <c r="F1233" s="3" t="s">
        <v>2734</v>
      </c>
      <c r="G1233" s="5"/>
      <c r="H1233" s="3" t="s">
        <v>2735</v>
      </c>
      <c r="I1233" s="3">
        <v>23</v>
      </c>
      <c r="J1233" s="4">
        <v>41470</v>
      </c>
      <c r="K1233" s="6">
        <v>0.47916666666666669</v>
      </c>
      <c r="L1233" s="3">
        <v>1</v>
      </c>
      <c r="M1233" s="3" t="s">
        <v>2110</v>
      </c>
      <c r="N1233" s="3" t="s">
        <v>2110</v>
      </c>
      <c r="O1233" s="5"/>
      <c r="P1233" s="3" t="s">
        <v>22</v>
      </c>
      <c r="Q1233" s="7"/>
      <c r="R1233" s="7"/>
    </row>
    <row r="1234" spans="1:18" ht="102" x14ac:dyDescent="0.25">
      <c r="A1234" s="3" t="s">
        <v>18</v>
      </c>
      <c r="B1234" s="3">
        <v>2013</v>
      </c>
      <c r="C1234" s="3" t="s">
        <v>2058</v>
      </c>
      <c r="D1234" s="3" t="str">
        <f>"394 / 2013"</f>
        <v>394 / 2013</v>
      </c>
      <c r="E1234" s="4">
        <v>41471</v>
      </c>
      <c r="F1234" s="3" t="s">
        <v>2736</v>
      </c>
      <c r="G1234" s="5"/>
      <c r="H1234" s="3" t="s">
        <v>2737</v>
      </c>
      <c r="I1234" s="3">
        <v>23</v>
      </c>
      <c r="J1234" s="4">
        <v>41470</v>
      </c>
      <c r="K1234" s="6">
        <v>0.47916666666666669</v>
      </c>
      <c r="L1234" s="3">
        <v>2</v>
      </c>
      <c r="M1234" s="3" t="s">
        <v>2110</v>
      </c>
      <c r="N1234" s="3" t="s">
        <v>2110</v>
      </c>
      <c r="O1234" s="5"/>
      <c r="P1234" s="3" t="s">
        <v>22</v>
      </c>
      <c r="Q1234" s="7"/>
      <c r="R1234" s="7"/>
    </row>
    <row r="1235" spans="1:18" ht="89.25" x14ac:dyDescent="0.25">
      <c r="A1235" s="3" t="s">
        <v>18</v>
      </c>
      <c r="B1235" s="3">
        <v>2013</v>
      </c>
      <c r="C1235" s="3" t="s">
        <v>2058</v>
      </c>
      <c r="D1235" s="3" t="str">
        <f>"395 / 2013"</f>
        <v>395 / 2013</v>
      </c>
      <c r="E1235" s="4">
        <v>41471</v>
      </c>
      <c r="F1235" s="3" t="s">
        <v>2738</v>
      </c>
      <c r="G1235" s="5"/>
      <c r="H1235" s="3" t="s">
        <v>2739</v>
      </c>
      <c r="I1235" s="3">
        <v>23</v>
      </c>
      <c r="J1235" s="4">
        <v>41470</v>
      </c>
      <c r="K1235" s="6">
        <v>0.47916666666666669</v>
      </c>
      <c r="L1235" s="3">
        <v>3</v>
      </c>
      <c r="M1235" s="3" t="s">
        <v>2110</v>
      </c>
      <c r="N1235" s="3" t="s">
        <v>2110</v>
      </c>
      <c r="O1235" s="5"/>
      <c r="P1235" s="3" t="s">
        <v>22</v>
      </c>
      <c r="Q1235" s="7"/>
      <c r="R1235" s="7"/>
    </row>
    <row r="1236" spans="1:18" ht="76.5" x14ac:dyDescent="0.25">
      <c r="A1236" s="3" t="s">
        <v>18</v>
      </c>
      <c r="B1236" s="3">
        <v>2013</v>
      </c>
      <c r="C1236" s="3" t="s">
        <v>2058</v>
      </c>
      <c r="D1236" s="3" t="str">
        <f>"396 / 2013"</f>
        <v>396 / 2013</v>
      </c>
      <c r="E1236" s="4">
        <v>41484</v>
      </c>
      <c r="F1236" s="3" t="s">
        <v>2740</v>
      </c>
      <c r="G1236" s="5"/>
      <c r="H1236" s="3" t="s">
        <v>2741</v>
      </c>
      <c r="I1236" s="3">
        <v>24</v>
      </c>
      <c r="J1236" s="4">
        <v>41484</v>
      </c>
      <c r="K1236" s="6">
        <v>0.45833333333333331</v>
      </c>
      <c r="L1236" s="3">
        <v>1</v>
      </c>
      <c r="M1236" s="3" t="s">
        <v>2110</v>
      </c>
      <c r="N1236" s="3" t="s">
        <v>2110</v>
      </c>
      <c r="O1236" s="5"/>
      <c r="P1236" s="3" t="s">
        <v>22</v>
      </c>
      <c r="Q1236" s="7"/>
      <c r="R1236" s="7"/>
    </row>
    <row r="1237" spans="1:18" ht="38.25" x14ac:dyDescent="0.25">
      <c r="A1237" s="3" t="s">
        <v>18</v>
      </c>
      <c r="B1237" s="3">
        <v>2013</v>
      </c>
      <c r="C1237" s="3" t="s">
        <v>2058</v>
      </c>
      <c r="D1237" s="3" t="str">
        <f>"397 / 2013"</f>
        <v>397 / 2013</v>
      </c>
      <c r="E1237" s="4">
        <v>41484</v>
      </c>
      <c r="F1237" s="3" t="s">
        <v>2742</v>
      </c>
      <c r="G1237" s="5"/>
      <c r="H1237" s="3" t="s">
        <v>2743</v>
      </c>
      <c r="I1237" s="3">
        <v>24</v>
      </c>
      <c r="J1237" s="4">
        <v>41484</v>
      </c>
      <c r="K1237" s="6">
        <v>0.45833333333333331</v>
      </c>
      <c r="L1237" s="3">
        <v>2</v>
      </c>
      <c r="M1237" s="3" t="s">
        <v>2110</v>
      </c>
      <c r="N1237" s="3" t="s">
        <v>2110</v>
      </c>
      <c r="O1237" s="5"/>
      <c r="P1237" s="3" t="s">
        <v>22</v>
      </c>
      <c r="Q1237" s="7"/>
      <c r="R1237" s="7"/>
    </row>
    <row r="1238" spans="1:18" ht="76.5" x14ac:dyDescent="0.25">
      <c r="A1238" s="3" t="s">
        <v>18</v>
      </c>
      <c r="B1238" s="3">
        <v>2013</v>
      </c>
      <c r="C1238" s="3" t="s">
        <v>2058</v>
      </c>
      <c r="D1238" s="3" t="str">
        <f>"398 / 2013"</f>
        <v>398 / 2013</v>
      </c>
      <c r="E1238" s="4">
        <v>41505</v>
      </c>
      <c r="F1238" s="3" t="s">
        <v>2744</v>
      </c>
      <c r="G1238" s="5"/>
      <c r="H1238" s="3" t="s">
        <v>2745</v>
      </c>
      <c r="I1238" s="3">
        <v>24</v>
      </c>
      <c r="J1238" s="4">
        <v>41484</v>
      </c>
      <c r="K1238" s="6">
        <v>0.45833333333333331</v>
      </c>
      <c r="L1238" s="3">
        <v>3</v>
      </c>
      <c r="M1238" s="3" t="s">
        <v>2705</v>
      </c>
      <c r="N1238" s="3" t="s">
        <v>2705</v>
      </c>
      <c r="O1238" s="5"/>
      <c r="P1238" s="3" t="s">
        <v>22</v>
      </c>
      <c r="Q1238" s="7"/>
      <c r="R1238" s="7"/>
    </row>
    <row r="1239" spans="1:18" ht="76.5" x14ac:dyDescent="0.25">
      <c r="A1239" s="3" t="s">
        <v>18</v>
      </c>
      <c r="B1239" s="3">
        <v>2013</v>
      </c>
      <c r="C1239" s="3" t="s">
        <v>2058</v>
      </c>
      <c r="D1239" s="3" t="str">
        <f>"399 / 2013"</f>
        <v>399 / 2013</v>
      </c>
      <c r="E1239" s="4">
        <v>41505</v>
      </c>
      <c r="F1239" s="3" t="s">
        <v>2746</v>
      </c>
      <c r="G1239" s="5"/>
      <c r="H1239" s="3" t="s">
        <v>2747</v>
      </c>
      <c r="I1239" s="3">
        <v>24</v>
      </c>
      <c r="J1239" s="4">
        <v>41484</v>
      </c>
      <c r="K1239" s="6">
        <v>0.45833333333333331</v>
      </c>
      <c r="L1239" s="3">
        <v>4</v>
      </c>
      <c r="M1239" s="3" t="s">
        <v>2064</v>
      </c>
      <c r="N1239" s="3" t="s">
        <v>2064</v>
      </c>
      <c r="O1239" s="5"/>
      <c r="P1239" s="3" t="s">
        <v>22</v>
      </c>
      <c r="Q1239" s="7"/>
      <c r="R1239" s="7"/>
    </row>
    <row r="1240" spans="1:18" ht="76.5" x14ac:dyDescent="0.25">
      <c r="A1240" s="3" t="s">
        <v>18</v>
      </c>
      <c r="B1240" s="3">
        <v>2013</v>
      </c>
      <c r="C1240" s="3" t="s">
        <v>2058</v>
      </c>
      <c r="D1240" s="3" t="str">
        <f>"4 / 2013"</f>
        <v>4 / 2013</v>
      </c>
      <c r="E1240" s="4">
        <v>41305</v>
      </c>
      <c r="F1240" s="3" t="s">
        <v>2748</v>
      </c>
      <c r="G1240" s="5"/>
      <c r="H1240" s="3" t="s">
        <v>2749</v>
      </c>
      <c r="I1240" s="3">
        <v>1</v>
      </c>
      <c r="J1240" s="4">
        <v>41295</v>
      </c>
      <c r="K1240" s="6">
        <v>0.5</v>
      </c>
      <c r="L1240" s="3">
        <v>4</v>
      </c>
      <c r="M1240" s="3" t="s">
        <v>18</v>
      </c>
      <c r="N1240" s="3" t="s">
        <v>19</v>
      </c>
      <c r="O1240" s="5"/>
      <c r="P1240" s="3" t="s">
        <v>22</v>
      </c>
      <c r="Q1240" s="7"/>
      <c r="R1240" s="7"/>
    </row>
    <row r="1241" spans="1:18" ht="63.75" x14ac:dyDescent="0.25">
      <c r="A1241" s="3" t="s">
        <v>18</v>
      </c>
      <c r="B1241" s="3">
        <v>2013</v>
      </c>
      <c r="C1241" s="3" t="s">
        <v>2058</v>
      </c>
      <c r="D1241" s="3" t="str">
        <f>"40 / 2013"</f>
        <v>40 / 2013</v>
      </c>
      <c r="E1241" s="4">
        <v>41331</v>
      </c>
      <c r="F1241" s="3" t="s">
        <v>2750</v>
      </c>
      <c r="G1241" s="5"/>
      <c r="H1241" s="3" t="s">
        <v>2751</v>
      </c>
      <c r="I1241" s="3">
        <v>4</v>
      </c>
      <c r="J1241" s="4">
        <v>41312</v>
      </c>
      <c r="K1241" s="6">
        <v>0.5</v>
      </c>
      <c r="L1241" s="3">
        <v>13</v>
      </c>
      <c r="M1241" s="3" t="s">
        <v>2442</v>
      </c>
      <c r="N1241" s="3" t="s">
        <v>2442</v>
      </c>
      <c r="O1241" s="5"/>
      <c r="P1241" s="3" t="s">
        <v>22</v>
      </c>
      <c r="Q1241" s="7"/>
      <c r="R1241" s="7"/>
    </row>
    <row r="1242" spans="1:18" ht="102" x14ac:dyDescent="0.25">
      <c r="A1242" s="3" t="s">
        <v>18</v>
      </c>
      <c r="B1242" s="3">
        <v>2013</v>
      </c>
      <c r="C1242" s="3" t="s">
        <v>2058</v>
      </c>
      <c r="D1242" s="3" t="str">
        <f>"400 / 2013"</f>
        <v>400 / 2013</v>
      </c>
      <c r="E1242" s="4">
        <v>41494</v>
      </c>
      <c r="F1242" s="3" t="s">
        <v>2752</v>
      </c>
      <c r="G1242" s="5"/>
      <c r="H1242" s="3" t="s">
        <v>2753</v>
      </c>
      <c r="I1242" s="3">
        <v>24</v>
      </c>
      <c r="J1242" s="4">
        <v>41484</v>
      </c>
      <c r="K1242" s="6">
        <v>0.45833333333333331</v>
      </c>
      <c r="L1242" s="3">
        <v>5</v>
      </c>
      <c r="M1242" s="3" t="s">
        <v>2064</v>
      </c>
      <c r="N1242" s="3" t="s">
        <v>2064</v>
      </c>
      <c r="O1242" s="5"/>
      <c r="P1242" s="3" t="s">
        <v>22</v>
      </c>
      <c r="Q1242" s="7"/>
      <c r="R1242" s="7"/>
    </row>
    <row r="1243" spans="1:18" ht="102" x14ac:dyDescent="0.25">
      <c r="A1243" s="3" t="s">
        <v>18</v>
      </c>
      <c r="B1243" s="3">
        <v>2013</v>
      </c>
      <c r="C1243" s="3" t="s">
        <v>2058</v>
      </c>
      <c r="D1243" s="3" t="str">
        <f>"401 / 2013"</f>
        <v>401 / 2013</v>
      </c>
      <c r="E1243" s="4">
        <v>41495</v>
      </c>
      <c r="F1243" s="3" t="s">
        <v>2754</v>
      </c>
      <c r="G1243" s="5"/>
      <c r="H1243" s="3" t="s">
        <v>2755</v>
      </c>
      <c r="I1243" s="3">
        <v>24</v>
      </c>
      <c r="J1243" s="4">
        <v>41484</v>
      </c>
      <c r="K1243" s="6">
        <v>0.45833333333333331</v>
      </c>
      <c r="L1243" s="3">
        <v>6</v>
      </c>
      <c r="M1243" s="3" t="s">
        <v>2064</v>
      </c>
      <c r="N1243" s="3" t="s">
        <v>2064</v>
      </c>
      <c r="O1243" s="5"/>
      <c r="P1243" s="3" t="s">
        <v>22</v>
      </c>
      <c r="Q1243" s="7"/>
      <c r="R1243" s="7"/>
    </row>
    <row r="1244" spans="1:18" ht="114.75" x14ac:dyDescent="0.25">
      <c r="A1244" s="3" t="s">
        <v>18</v>
      </c>
      <c r="B1244" s="3">
        <v>2013</v>
      </c>
      <c r="C1244" s="3" t="s">
        <v>2058</v>
      </c>
      <c r="D1244" s="3" t="str">
        <f>"402 / 2013"</f>
        <v>402 / 2013</v>
      </c>
      <c r="E1244" s="4">
        <v>41495</v>
      </c>
      <c r="F1244" s="3" t="s">
        <v>2756</v>
      </c>
      <c r="G1244" s="5"/>
      <c r="H1244" s="3" t="s">
        <v>2757</v>
      </c>
      <c r="I1244" s="3">
        <v>24</v>
      </c>
      <c r="J1244" s="4">
        <v>41484</v>
      </c>
      <c r="K1244" s="6">
        <v>0.45833333333333331</v>
      </c>
      <c r="L1244" s="3">
        <v>7</v>
      </c>
      <c r="M1244" s="3" t="s">
        <v>2064</v>
      </c>
      <c r="N1244" s="3" t="s">
        <v>2064</v>
      </c>
      <c r="O1244" s="5"/>
      <c r="P1244" s="3" t="s">
        <v>22</v>
      </c>
      <c r="Q1244" s="7"/>
      <c r="R1244" s="7"/>
    </row>
    <row r="1245" spans="1:18" ht="102" x14ac:dyDescent="0.25">
      <c r="A1245" s="3" t="s">
        <v>18</v>
      </c>
      <c r="B1245" s="3">
        <v>2013</v>
      </c>
      <c r="C1245" s="3" t="s">
        <v>2058</v>
      </c>
      <c r="D1245" s="3" t="str">
        <f>"403 / 2013"</f>
        <v>403 / 2013</v>
      </c>
      <c r="E1245" s="4">
        <v>41495</v>
      </c>
      <c r="F1245" s="3" t="s">
        <v>2758</v>
      </c>
      <c r="G1245" s="5"/>
      <c r="H1245" s="3" t="s">
        <v>2759</v>
      </c>
      <c r="I1245" s="3">
        <v>24</v>
      </c>
      <c r="J1245" s="4">
        <v>41484</v>
      </c>
      <c r="K1245" s="6">
        <v>0.45833333333333331</v>
      </c>
      <c r="L1245" s="3">
        <v>8</v>
      </c>
      <c r="M1245" s="3" t="s">
        <v>2064</v>
      </c>
      <c r="N1245" s="3" t="s">
        <v>2064</v>
      </c>
      <c r="O1245" s="5"/>
      <c r="P1245" s="3" t="s">
        <v>22</v>
      </c>
      <c r="Q1245" s="7"/>
      <c r="R1245" s="7"/>
    </row>
    <row r="1246" spans="1:18" ht="102" x14ac:dyDescent="0.25">
      <c r="A1246" s="3" t="s">
        <v>18</v>
      </c>
      <c r="B1246" s="3">
        <v>2013</v>
      </c>
      <c r="C1246" s="3" t="s">
        <v>2058</v>
      </c>
      <c r="D1246" s="3" t="str">
        <f>"404 / 2013"</f>
        <v>404 / 2013</v>
      </c>
      <c r="E1246" s="4">
        <v>41495</v>
      </c>
      <c r="F1246" s="3" t="s">
        <v>2760</v>
      </c>
      <c r="G1246" s="5"/>
      <c r="H1246" s="3" t="s">
        <v>2761</v>
      </c>
      <c r="I1246" s="3">
        <v>24</v>
      </c>
      <c r="J1246" s="4">
        <v>41484</v>
      </c>
      <c r="K1246" s="6">
        <v>0.45833333333333331</v>
      </c>
      <c r="L1246" s="3">
        <v>9</v>
      </c>
      <c r="M1246" s="3" t="s">
        <v>2064</v>
      </c>
      <c r="N1246" s="3" t="s">
        <v>2064</v>
      </c>
      <c r="O1246" s="5"/>
      <c r="P1246" s="3" t="s">
        <v>22</v>
      </c>
      <c r="Q1246" s="7"/>
      <c r="R1246" s="7"/>
    </row>
    <row r="1247" spans="1:18" ht="102" x14ac:dyDescent="0.25">
      <c r="A1247" s="3" t="s">
        <v>18</v>
      </c>
      <c r="B1247" s="3">
        <v>2013</v>
      </c>
      <c r="C1247" s="3" t="s">
        <v>2058</v>
      </c>
      <c r="D1247" s="3" t="str">
        <f>"405 / 2013"</f>
        <v>405 / 2013</v>
      </c>
      <c r="E1247" s="4">
        <v>41495</v>
      </c>
      <c r="F1247" s="3" t="s">
        <v>2762</v>
      </c>
      <c r="G1247" s="5"/>
      <c r="H1247" s="3" t="s">
        <v>2763</v>
      </c>
      <c r="I1247" s="3">
        <v>24</v>
      </c>
      <c r="J1247" s="4">
        <v>41484</v>
      </c>
      <c r="K1247" s="6">
        <v>0.45833333333333331</v>
      </c>
      <c r="L1247" s="3">
        <v>10</v>
      </c>
      <c r="M1247" s="3" t="s">
        <v>2064</v>
      </c>
      <c r="N1247" s="3" t="s">
        <v>2064</v>
      </c>
      <c r="O1247" s="5"/>
      <c r="P1247" s="3" t="s">
        <v>22</v>
      </c>
      <c r="Q1247" s="7"/>
      <c r="R1247" s="7"/>
    </row>
    <row r="1248" spans="1:18" ht="114.75" x14ac:dyDescent="0.25">
      <c r="A1248" s="3" t="s">
        <v>18</v>
      </c>
      <c r="B1248" s="3">
        <v>2013</v>
      </c>
      <c r="C1248" s="3" t="s">
        <v>2058</v>
      </c>
      <c r="D1248" s="3" t="str">
        <f>"406 / 2013"</f>
        <v>406 / 2013</v>
      </c>
      <c r="E1248" s="4">
        <v>41494</v>
      </c>
      <c r="F1248" s="3" t="s">
        <v>2764</v>
      </c>
      <c r="G1248" s="5"/>
      <c r="H1248" s="3" t="s">
        <v>2765</v>
      </c>
      <c r="I1248" s="3">
        <v>24</v>
      </c>
      <c r="J1248" s="4">
        <v>41484</v>
      </c>
      <c r="K1248" s="6">
        <v>0.45833333333333331</v>
      </c>
      <c r="L1248" s="3">
        <v>11</v>
      </c>
      <c r="M1248" s="3" t="s">
        <v>2064</v>
      </c>
      <c r="N1248" s="3" t="s">
        <v>2064</v>
      </c>
      <c r="O1248" s="5"/>
      <c r="P1248" s="3" t="s">
        <v>22</v>
      </c>
      <c r="Q1248" s="7"/>
      <c r="R1248" s="7"/>
    </row>
    <row r="1249" spans="1:18" ht="51" x14ac:dyDescent="0.25">
      <c r="A1249" s="3" t="s">
        <v>18</v>
      </c>
      <c r="B1249" s="3">
        <v>2013</v>
      </c>
      <c r="C1249" s="3" t="s">
        <v>2058</v>
      </c>
      <c r="D1249" s="3" t="str">
        <f>"407 / 2013"</f>
        <v>407 / 2013</v>
      </c>
      <c r="E1249" s="4">
        <v>41512</v>
      </c>
      <c r="F1249" s="3" t="s">
        <v>2766</v>
      </c>
      <c r="G1249" s="5"/>
      <c r="H1249" s="3" t="s">
        <v>2767</v>
      </c>
      <c r="I1249" s="3">
        <v>24</v>
      </c>
      <c r="J1249" s="4">
        <v>41484</v>
      </c>
      <c r="K1249" s="6">
        <v>0.45833333333333331</v>
      </c>
      <c r="L1249" s="3">
        <v>12</v>
      </c>
      <c r="M1249" s="3" t="s">
        <v>2705</v>
      </c>
      <c r="N1249" s="3" t="s">
        <v>2705</v>
      </c>
      <c r="O1249" s="5"/>
      <c r="P1249" s="3" t="s">
        <v>22</v>
      </c>
      <c r="Q1249" s="7"/>
      <c r="R1249" s="7"/>
    </row>
    <row r="1250" spans="1:18" ht="51" x14ac:dyDescent="0.25">
      <c r="A1250" s="3" t="s">
        <v>18</v>
      </c>
      <c r="B1250" s="3">
        <v>2013</v>
      </c>
      <c r="C1250" s="3" t="s">
        <v>2058</v>
      </c>
      <c r="D1250" s="3" t="str">
        <f>"408 / 2013"</f>
        <v>408 / 2013</v>
      </c>
      <c r="E1250" s="4">
        <v>41512</v>
      </c>
      <c r="F1250" s="3" t="s">
        <v>2768</v>
      </c>
      <c r="G1250" s="5"/>
      <c r="H1250" s="3" t="s">
        <v>2769</v>
      </c>
      <c r="I1250" s="3">
        <v>24</v>
      </c>
      <c r="J1250" s="4">
        <v>41484</v>
      </c>
      <c r="K1250" s="6">
        <v>0.45833333333333331</v>
      </c>
      <c r="L1250" s="3">
        <v>13</v>
      </c>
      <c r="M1250" s="3" t="s">
        <v>2705</v>
      </c>
      <c r="N1250" s="3" t="s">
        <v>2705</v>
      </c>
      <c r="O1250" s="5"/>
      <c r="P1250" s="3" t="s">
        <v>22</v>
      </c>
      <c r="Q1250" s="7"/>
      <c r="R1250" s="7"/>
    </row>
    <row r="1251" spans="1:18" ht="51" x14ac:dyDescent="0.25">
      <c r="A1251" s="3" t="s">
        <v>18</v>
      </c>
      <c r="B1251" s="3">
        <v>2013</v>
      </c>
      <c r="C1251" s="3" t="s">
        <v>2058</v>
      </c>
      <c r="D1251" s="3" t="str">
        <f>"409 / 2013"</f>
        <v>409 / 2013</v>
      </c>
      <c r="E1251" s="4">
        <v>41512</v>
      </c>
      <c r="F1251" s="3" t="s">
        <v>2770</v>
      </c>
      <c r="G1251" s="5"/>
      <c r="H1251" s="3" t="s">
        <v>2771</v>
      </c>
      <c r="I1251" s="3">
        <v>24</v>
      </c>
      <c r="J1251" s="4">
        <v>41484</v>
      </c>
      <c r="K1251" s="6">
        <v>0.45833333333333331</v>
      </c>
      <c r="L1251" s="3">
        <v>14</v>
      </c>
      <c r="M1251" s="3" t="s">
        <v>2705</v>
      </c>
      <c r="N1251" s="3" t="s">
        <v>2705</v>
      </c>
      <c r="O1251" s="5"/>
      <c r="P1251" s="3" t="s">
        <v>22</v>
      </c>
      <c r="Q1251" s="7"/>
      <c r="R1251" s="7"/>
    </row>
    <row r="1252" spans="1:18" ht="51" x14ac:dyDescent="0.25">
      <c r="A1252" s="3" t="s">
        <v>18</v>
      </c>
      <c r="B1252" s="3">
        <v>2013</v>
      </c>
      <c r="C1252" s="3" t="s">
        <v>2058</v>
      </c>
      <c r="D1252" s="3" t="str">
        <f>"410 / 2013"</f>
        <v>410 / 2013</v>
      </c>
      <c r="E1252" s="4">
        <v>41512</v>
      </c>
      <c r="F1252" s="3" t="s">
        <v>2772</v>
      </c>
      <c r="G1252" s="5"/>
      <c r="H1252" s="3" t="s">
        <v>2773</v>
      </c>
      <c r="I1252" s="3">
        <v>24</v>
      </c>
      <c r="J1252" s="4">
        <v>41484</v>
      </c>
      <c r="K1252" s="6">
        <v>0.45833333333333331</v>
      </c>
      <c r="L1252" s="3">
        <v>15</v>
      </c>
      <c r="M1252" s="3" t="s">
        <v>2705</v>
      </c>
      <c r="N1252" s="3" t="s">
        <v>2705</v>
      </c>
      <c r="O1252" s="5"/>
      <c r="P1252" s="3" t="s">
        <v>22</v>
      </c>
      <c r="Q1252" s="7"/>
      <c r="R1252" s="7"/>
    </row>
    <row r="1253" spans="1:18" ht="102" x14ac:dyDescent="0.25">
      <c r="A1253" s="3" t="s">
        <v>18</v>
      </c>
      <c r="B1253" s="3">
        <v>2013</v>
      </c>
      <c r="C1253" s="3" t="s">
        <v>2058</v>
      </c>
      <c r="D1253" s="3" t="str">
        <f>"411 / 2013"</f>
        <v>411 / 2013</v>
      </c>
      <c r="E1253" s="4">
        <v>41486</v>
      </c>
      <c r="F1253" s="3" t="s">
        <v>2774</v>
      </c>
      <c r="G1253" s="5"/>
      <c r="H1253" s="3" t="s">
        <v>2775</v>
      </c>
      <c r="I1253" s="3">
        <v>24</v>
      </c>
      <c r="J1253" s="4">
        <v>41484</v>
      </c>
      <c r="K1253" s="6">
        <v>0.45833333333333331</v>
      </c>
      <c r="L1253" s="3">
        <v>16</v>
      </c>
      <c r="M1253" s="3" t="s">
        <v>2132</v>
      </c>
      <c r="N1253" s="3" t="s">
        <v>2132</v>
      </c>
      <c r="O1253" s="5"/>
      <c r="P1253" s="3" t="s">
        <v>22</v>
      </c>
      <c r="Q1253" s="7"/>
      <c r="R1253" s="7"/>
    </row>
    <row r="1254" spans="1:18" ht="89.25" x14ac:dyDescent="0.25">
      <c r="A1254" s="3" t="s">
        <v>18</v>
      </c>
      <c r="B1254" s="3">
        <v>2013</v>
      </c>
      <c r="C1254" s="3" t="s">
        <v>2058</v>
      </c>
      <c r="D1254" s="3" t="str">
        <f>"412 / 2013"</f>
        <v>412 / 2013</v>
      </c>
      <c r="E1254" s="4">
        <v>41484</v>
      </c>
      <c r="F1254" s="3" t="s">
        <v>2776</v>
      </c>
      <c r="G1254" s="5"/>
      <c r="H1254" s="3" t="s">
        <v>2777</v>
      </c>
      <c r="I1254" s="3">
        <v>24</v>
      </c>
      <c r="J1254" s="4">
        <v>41484</v>
      </c>
      <c r="K1254" s="6">
        <v>0.45833333333333331</v>
      </c>
      <c r="L1254" s="3">
        <v>17</v>
      </c>
      <c r="M1254" s="3" t="s">
        <v>2110</v>
      </c>
      <c r="N1254" s="3" t="s">
        <v>2110</v>
      </c>
      <c r="O1254" s="5"/>
      <c r="P1254" s="3" t="s">
        <v>22</v>
      </c>
      <c r="Q1254" s="7"/>
      <c r="R1254" s="7"/>
    </row>
    <row r="1255" spans="1:18" ht="102" x14ac:dyDescent="0.25">
      <c r="A1255" s="3" t="s">
        <v>18</v>
      </c>
      <c r="B1255" s="3">
        <v>2013</v>
      </c>
      <c r="C1255" s="3" t="s">
        <v>2058</v>
      </c>
      <c r="D1255" s="3" t="str">
        <f>"413 / 2013"</f>
        <v>413 / 2013</v>
      </c>
      <c r="E1255" s="4">
        <v>41494</v>
      </c>
      <c r="F1255" s="3" t="s">
        <v>2778</v>
      </c>
      <c r="G1255" s="5"/>
      <c r="H1255" s="3" t="s">
        <v>2779</v>
      </c>
      <c r="I1255" s="3">
        <v>24</v>
      </c>
      <c r="J1255" s="4">
        <v>41484</v>
      </c>
      <c r="K1255" s="6">
        <v>0.45833333333333331</v>
      </c>
      <c r="L1255" s="3">
        <v>18</v>
      </c>
      <c r="M1255" s="3" t="s">
        <v>2064</v>
      </c>
      <c r="N1255" s="3" t="s">
        <v>2064</v>
      </c>
      <c r="O1255" s="5"/>
      <c r="P1255" s="3" t="s">
        <v>22</v>
      </c>
      <c r="Q1255" s="7"/>
      <c r="R1255" s="7"/>
    </row>
    <row r="1256" spans="1:18" ht="102" x14ac:dyDescent="0.25">
      <c r="A1256" s="3" t="s">
        <v>18</v>
      </c>
      <c r="B1256" s="3">
        <v>2013</v>
      </c>
      <c r="C1256" s="3" t="s">
        <v>2058</v>
      </c>
      <c r="D1256" s="3" t="str">
        <f>"414 / 2013"</f>
        <v>414 / 2013</v>
      </c>
      <c r="E1256" s="4">
        <v>41494</v>
      </c>
      <c r="F1256" s="3" t="s">
        <v>2780</v>
      </c>
      <c r="G1256" s="5"/>
      <c r="H1256" s="3" t="s">
        <v>2781</v>
      </c>
      <c r="I1256" s="3">
        <v>24</v>
      </c>
      <c r="J1256" s="4">
        <v>41484</v>
      </c>
      <c r="K1256" s="6">
        <v>0.45833333333333331</v>
      </c>
      <c r="L1256" s="3">
        <v>19</v>
      </c>
      <c r="M1256" s="3" t="s">
        <v>2064</v>
      </c>
      <c r="N1256" s="3" t="s">
        <v>2064</v>
      </c>
      <c r="O1256" s="5"/>
      <c r="P1256" s="3" t="s">
        <v>22</v>
      </c>
      <c r="Q1256" s="7"/>
      <c r="R1256" s="7"/>
    </row>
    <row r="1257" spans="1:18" ht="51" x14ac:dyDescent="0.25">
      <c r="A1257" s="3" t="s">
        <v>18</v>
      </c>
      <c r="B1257" s="3">
        <v>2013</v>
      </c>
      <c r="C1257" s="3" t="s">
        <v>2058</v>
      </c>
      <c r="D1257" s="3" t="str">
        <f>"415 / 2013"</f>
        <v>415 / 2013</v>
      </c>
      <c r="E1257" s="4">
        <v>41488</v>
      </c>
      <c r="F1257" s="3" t="s">
        <v>2782</v>
      </c>
      <c r="G1257" s="5"/>
      <c r="H1257" s="3" t="s">
        <v>2783</v>
      </c>
      <c r="I1257" s="3">
        <v>24</v>
      </c>
      <c r="J1257" s="4">
        <v>41484</v>
      </c>
      <c r="K1257" s="6">
        <v>0.45833333333333331</v>
      </c>
      <c r="L1257" s="3">
        <v>20</v>
      </c>
      <c r="M1257" s="3" t="s">
        <v>2061</v>
      </c>
      <c r="N1257" s="3" t="s">
        <v>2061</v>
      </c>
      <c r="O1257" s="5"/>
      <c r="P1257" s="3" t="s">
        <v>22</v>
      </c>
      <c r="Q1257" s="7"/>
      <c r="R1257" s="7"/>
    </row>
    <row r="1258" spans="1:18" ht="63.75" x14ac:dyDescent="0.25">
      <c r="A1258" s="3" t="s">
        <v>18</v>
      </c>
      <c r="B1258" s="3">
        <v>2013</v>
      </c>
      <c r="C1258" s="3" t="s">
        <v>2058</v>
      </c>
      <c r="D1258" s="3" t="str">
        <f>"416 / 2013"</f>
        <v>416 / 2013</v>
      </c>
      <c r="E1258" s="4">
        <v>41505</v>
      </c>
      <c r="F1258" s="3" t="s">
        <v>2784</v>
      </c>
      <c r="G1258" s="5"/>
      <c r="H1258" s="3" t="s">
        <v>2785</v>
      </c>
      <c r="I1258" s="3">
        <v>24</v>
      </c>
      <c r="J1258" s="4">
        <v>41484</v>
      </c>
      <c r="K1258" s="6">
        <v>0.45833333333333331</v>
      </c>
      <c r="L1258" s="3">
        <v>21</v>
      </c>
      <c r="M1258" s="3" t="s">
        <v>2786</v>
      </c>
      <c r="N1258" s="3" t="s">
        <v>2787</v>
      </c>
      <c r="O1258" s="5"/>
      <c r="P1258" s="3" t="s">
        <v>22</v>
      </c>
      <c r="Q1258" s="7"/>
      <c r="R1258" s="7"/>
    </row>
    <row r="1259" spans="1:18" ht="51" x14ac:dyDescent="0.25">
      <c r="A1259" s="3" t="s">
        <v>18</v>
      </c>
      <c r="B1259" s="3">
        <v>2013</v>
      </c>
      <c r="C1259" s="3" t="s">
        <v>2058</v>
      </c>
      <c r="D1259" s="3" t="str">
        <f>"417 / 2013"</f>
        <v>417 / 2013</v>
      </c>
      <c r="E1259" s="4">
        <v>41508</v>
      </c>
      <c r="F1259" s="3" t="s">
        <v>2788</v>
      </c>
      <c r="G1259" s="5"/>
      <c r="H1259" s="3" t="s">
        <v>2789</v>
      </c>
      <c r="I1259" s="3">
        <v>24</v>
      </c>
      <c r="J1259" s="4">
        <v>41484</v>
      </c>
      <c r="K1259" s="6">
        <v>0.45833333333333331</v>
      </c>
      <c r="L1259" s="3">
        <v>22</v>
      </c>
      <c r="M1259" s="3" t="s">
        <v>18</v>
      </c>
      <c r="N1259" s="3" t="s">
        <v>18</v>
      </c>
      <c r="O1259" s="5"/>
      <c r="P1259" s="3" t="s">
        <v>22</v>
      </c>
      <c r="Q1259" s="7"/>
      <c r="R1259" s="7"/>
    </row>
    <row r="1260" spans="1:18" ht="89.25" x14ac:dyDescent="0.25">
      <c r="A1260" s="3" t="s">
        <v>18</v>
      </c>
      <c r="B1260" s="3">
        <v>2013</v>
      </c>
      <c r="C1260" s="3" t="s">
        <v>2058</v>
      </c>
      <c r="D1260" s="3" t="str">
        <f>"418 / 2013"</f>
        <v>418 / 2013</v>
      </c>
      <c r="E1260" s="4">
        <v>41493</v>
      </c>
      <c r="F1260" s="3" t="s">
        <v>2790</v>
      </c>
      <c r="G1260" s="5"/>
      <c r="H1260" s="3" t="s">
        <v>2791</v>
      </c>
      <c r="I1260" s="3">
        <v>24</v>
      </c>
      <c r="J1260" s="4">
        <v>41484</v>
      </c>
      <c r="K1260" s="6">
        <v>0.45833333333333331</v>
      </c>
      <c r="L1260" s="3">
        <v>23</v>
      </c>
      <c r="M1260" s="3" t="s">
        <v>2117</v>
      </c>
      <c r="N1260" s="3" t="s">
        <v>2117</v>
      </c>
      <c r="O1260" s="5"/>
      <c r="P1260" s="3" t="s">
        <v>22</v>
      </c>
      <c r="Q1260" s="7"/>
      <c r="R1260" s="7"/>
    </row>
    <row r="1261" spans="1:18" ht="63.75" x14ac:dyDescent="0.25">
      <c r="A1261" s="3" t="s">
        <v>18</v>
      </c>
      <c r="B1261" s="3">
        <v>2013</v>
      </c>
      <c r="C1261" s="3" t="s">
        <v>2058</v>
      </c>
      <c r="D1261" s="3" t="str">
        <f>"419 / 2013"</f>
        <v>419 / 2013</v>
      </c>
      <c r="E1261" s="4">
        <v>41486</v>
      </c>
      <c r="F1261" s="3" t="s">
        <v>2792</v>
      </c>
      <c r="G1261" s="5"/>
      <c r="H1261" s="3" t="s">
        <v>2793</v>
      </c>
      <c r="I1261" s="3">
        <v>24</v>
      </c>
      <c r="J1261" s="4">
        <v>41484</v>
      </c>
      <c r="K1261" s="6">
        <v>0.45833333333333331</v>
      </c>
      <c r="L1261" s="3">
        <v>24</v>
      </c>
      <c r="M1261" s="3" t="s">
        <v>2110</v>
      </c>
      <c r="N1261" s="3" t="s">
        <v>2110</v>
      </c>
      <c r="O1261" s="5"/>
      <c r="P1261" s="3" t="s">
        <v>22</v>
      </c>
      <c r="Q1261" s="7"/>
      <c r="R1261" s="7"/>
    </row>
    <row r="1262" spans="1:18" ht="51" x14ac:dyDescent="0.25">
      <c r="A1262" s="3" t="s">
        <v>18</v>
      </c>
      <c r="B1262" s="3">
        <v>2013</v>
      </c>
      <c r="C1262" s="3" t="s">
        <v>2058</v>
      </c>
      <c r="D1262" s="3" t="str">
        <f>"42 / 2013"</f>
        <v>42 / 2013</v>
      </c>
      <c r="E1262" s="4">
        <v>41333</v>
      </c>
      <c r="F1262" s="3" t="s">
        <v>2794</v>
      </c>
      <c r="G1262" s="5"/>
      <c r="H1262" s="3" t="s">
        <v>2795</v>
      </c>
      <c r="I1262" s="3">
        <v>4</v>
      </c>
      <c r="J1262" s="4">
        <v>41312</v>
      </c>
      <c r="K1262" s="6">
        <v>0.5</v>
      </c>
      <c r="L1262" s="3">
        <v>15</v>
      </c>
      <c r="M1262" s="3" t="s">
        <v>2061</v>
      </c>
      <c r="N1262" s="3" t="s">
        <v>2061</v>
      </c>
      <c r="O1262" s="5"/>
      <c r="P1262" s="3" t="s">
        <v>22</v>
      </c>
      <c r="Q1262" s="7"/>
      <c r="R1262" s="7"/>
    </row>
    <row r="1263" spans="1:18" ht="89.25" x14ac:dyDescent="0.25">
      <c r="A1263" s="3" t="s">
        <v>18</v>
      </c>
      <c r="B1263" s="3">
        <v>2013</v>
      </c>
      <c r="C1263" s="3" t="s">
        <v>2058</v>
      </c>
      <c r="D1263" s="3" t="str">
        <f>"420 / 2013"</f>
        <v>420 / 2013</v>
      </c>
      <c r="E1263" s="4">
        <v>41486</v>
      </c>
      <c r="F1263" s="3" t="s">
        <v>2796</v>
      </c>
      <c r="G1263" s="5"/>
      <c r="H1263" s="3" t="s">
        <v>2797</v>
      </c>
      <c r="I1263" s="3">
        <v>24</v>
      </c>
      <c r="J1263" s="4">
        <v>41484</v>
      </c>
      <c r="K1263" s="6">
        <v>0.45833333333333331</v>
      </c>
      <c r="L1263" s="3">
        <v>25</v>
      </c>
      <c r="M1263" s="3" t="s">
        <v>2526</v>
      </c>
      <c r="N1263" s="3" t="s">
        <v>2526</v>
      </c>
      <c r="O1263" s="5"/>
      <c r="P1263" s="3" t="s">
        <v>22</v>
      </c>
      <c r="Q1263" s="7"/>
      <c r="R1263" s="7"/>
    </row>
    <row r="1264" spans="1:18" ht="63.75" x14ac:dyDescent="0.25">
      <c r="A1264" s="3" t="s">
        <v>18</v>
      </c>
      <c r="B1264" s="3">
        <v>2013</v>
      </c>
      <c r="C1264" s="3" t="s">
        <v>2058</v>
      </c>
      <c r="D1264" s="3" t="str">
        <f>"421 / 2013"</f>
        <v>421 / 2013</v>
      </c>
      <c r="E1264" s="4">
        <v>41485</v>
      </c>
      <c r="F1264" s="3" t="s">
        <v>2798</v>
      </c>
      <c r="G1264" s="5"/>
      <c r="H1264" s="3" t="s">
        <v>2799</v>
      </c>
      <c r="I1264" s="3">
        <v>24</v>
      </c>
      <c r="J1264" s="4">
        <v>41484</v>
      </c>
      <c r="K1264" s="6">
        <v>0.45833333333333331</v>
      </c>
      <c r="L1264" s="3">
        <v>26</v>
      </c>
      <c r="M1264" s="3" t="s">
        <v>2800</v>
      </c>
      <c r="N1264" s="3" t="s">
        <v>2800</v>
      </c>
      <c r="O1264" s="5"/>
      <c r="P1264" s="3" t="s">
        <v>22</v>
      </c>
      <c r="Q1264" s="7"/>
      <c r="R1264" s="7"/>
    </row>
    <row r="1265" spans="1:18" ht="89.25" x14ac:dyDescent="0.25">
      <c r="A1265" s="3" t="s">
        <v>18</v>
      </c>
      <c r="B1265" s="3">
        <v>2013</v>
      </c>
      <c r="C1265" s="3" t="s">
        <v>2058</v>
      </c>
      <c r="D1265" s="3" t="str">
        <f>"422 / 2013"</f>
        <v>422 / 2013</v>
      </c>
      <c r="E1265" s="4">
        <v>41512</v>
      </c>
      <c r="F1265" s="3" t="s">
        <v>2801</v>
      </c>
      <c r="G1265" s="5"/>
      <c r="H1265" s="3" t="s">
        <v>2802</v>
      </c>
      <c r="I1265" s="3">
        <v>24</v>
      </c>
      <c r="J1265" s="4">
        <v>41484</v>
      </c>
      <c r="K1265" s="6">
        <v>0.45833333333333331</v>
      </c>
      <c r="L1265" s="3">
        <v>27</v>
      </c>
      <c r="M1265" s="3" t="s">
        <v>35</v>
      </c>
      <c r="N1265" s="3" t="s">
        <v>35</v>
      </c>
      <c r="O1265" s="5"/>
      <c r="P1265" s="3" t="s">
        <v>22</v>
      </c>
      <c r="Q1265" s="7"/>
      <c r="R1265" s="7"/>
    </row>
    <row r="1266" spans="1:18" ht="76.5" x14ac:dyDescent="0.25">
      <c r="A1266" s="3" t="s">
        <v>18</v>
      </c>
      <c r="B1266" s="3">
        <v>2013</v>
      </c>
      <c r="C1266" s="3" t="s">
        <v>2058</v>
      </c>
      <c r="D1266" s="3" t="str">
        <f>"423 / 2013"</f>
        <v>423 / 2013</v>
      </c>
      <c r="E1266" s="4">
        <v>41488</v>
      </c>
      <c r="F1266" s="3" t="s">
        <v>2803</v>
      </c>
      <c r="G1266" s="5"/>
      <c r="H1266" s="3" t="s">
        <v>2804</v>
      </c>
      <c r="I1266" s="3">
        <v>24</v>
      </c>
      <c r="J1266" s="4">
        <v>41484</v>
      </c>
      <c r="K1266" s="6">
        <v>0.45833333333333331</v>
      </c>
      <c r="L1266" s="3">
        <v>28</v>
      </c>
      <c r="M1266" s="3" t="s">
        <v>2442</v>
      </c>
      <c r="N1266" s="3" t="s">
        <v>2442</v>
      </c>
      <c r="O1266" s="5"/>
      <c r="P1266" s="3" t="s">
        <v>22</v>
      </c>
      <c r="Q1266" s="7"/>
      <c r="R1266" s="7"/>
    </row>
    <row r="1267" spans="1:18" ht="51" x14ac:dyDescent="0.25">
      <c r="A1267" s="3" t="s">
        <v>18</v>
      </c>
      <c r="B1267" s="3">
        <v>2013</v>
      </c>
      <c r="C1267" s="3" t="s">
        <v>2058</v>
      </c>
      <c r="D1267" s="3" t="str">
        <f>"424 / 2013"</f>
        <v>424 / 2013</v>
      </c>
      <c r="E1267" s="4">
        <v>41488</v>
      </c>
      <c r="F1267" s="3" t="s">
        <v>2805</v>
      </c>
      <c r="G1267" s="5"/>
      <c r="H1267" s="3" t="s">
        <v>2806</v>
      </c>
      <c r="I1267" s="3">
        <v>24</v>
      </c>
      <c r="J1267" s="4">
        <v>41484</v>
      </c>
      <c r="K1267" s="6">
        <v>0.45833333333333331</v>
      </c>
      <c r="L1267" s="3">
        <v>29</v>
      </c>
      <c r="M1267" s="3" t="s">
        <v>2442</v>
      </c>
      <c r="N1267" s="3" t="s">
        <v>2442</v>
      </c>
      <c r="O1267" s="5"/>
      <c r="P1267" s="3" t="s">
        <v>22</v>
      </c>
      <c r="Q1267" s="7"/>
      <c r="R1267" s="7"/>
    </row>
    <row r="1268" spans="1:18" ht="63.75" x14ac:dyDescent="0.25">
      <c r="A1268" s="3" t="s">
        <v>18</v>
      </c>
      <c r="B1268" s="3">
        <v>2013</v>
      </c>
      <c r="C1268" s="3" t="s">
        <v>2058</v>
      </c>
      <c r="D1268" s="3" t="str">
        <f>"425 / 2013"</f>
        <v>425 / 2013</v>
      </c>
      <c r="E1268" s="4">
        <v>41495</v>
      </c>
      <c r="F1268" s="3" t="s">
        <v>2807</v>
      </c>
      <c r="G1268" s="5"/>
      <c r="H1268" s="3" t="s">
        <v>2808</v>
      </c>
      <c r="I1268" s="3">
        <v>24</v>
      </c>
      <c r="J1268" s="4">
        <v>41484</v>
      </c>
      <c r="K1268" s="6">
        <v>0.45833333333333331</v>
      </c>
      <c r="L1268" s="3">
        <v>30</v>
      </c>
      <c r="M1268" s="3" t="s">
        <v>2561</v>
      </c>
      <c r="N1268" s="3" t="s">
        <v>2561</v>
      </c>
      <c r="O1268" s="5"/>
      <c r="P1268" s="3" t="s">
        <v>22</v>
      </c>
      <c r="Q1268" s="7"/>
      <c r="R1268" s="7"/>
    </row>
    <row r="1269" spans="1:18" ht="51" x14ac:dyDescent="0.25">
      <c r="A1269" s="3" t="s">
        <v>18</v>
      </c>
      <c r="B1269" s="3">
        <v>2013</v>
      </c>
      <c r="C1269" s="3" t="s">
        <v>2058</v>
      </c>
      <c r="D1269" s="3" t="str">
        <f>"426 / 2013"</f>
        <v>426 / 2013</v>
      </c>
      <c r="E1269" s="4">
        <v>41486</v>
      </c>
      <c r="F1269" s="3" t="s">
        <v>2809</v>
      </c>
      <c r="G1269" s="5"/>
      <c r="H1269" s="3" t="s">
        <v>2810</v>
      </c>
      <c r="I1269" s="3">
        <v>24</v>
      </c>
      <c r="J1269" s="4">
        <v>41484</v>
      </c>
      <c r="K1269" s="6">
        <v>0.45833333333333331</v>
      </c>
      <c r="L1269" s="3">
        <v>31</v>
      </c>
      <c r="M1269" s="3" t="s">
        <v>2099</v>
      </c>
      <c r="N1269" s="3" t="s">
        <v>2099</v>
      </c>
      <c r="O1269" s="5"/>
      <c r="P1269" s="3" t="s">
        <v>22</v>
      </c>
      <c r="Q1269" s="7"/>
      <c r="R1269" s="7"/>
    </row>
    <row r="1270" spans="1:18" ht="76.5" x14ac:dyDescent="0.25">
      <c r="A1270" s="3" t="s">
        <v>18</v>
      </c>
      <c r="B1270" s="3">
        <v>2013</v>
      </c>
      <c r="C1270" s="3" t="s">
        <v>2058</v>
      </c>
      <c r="D1270" s="3" t="str">
        <f>"427 / 2013"</f>
        <v>427 / 2013</v>
      </c>
      <c r="E1270" s="4">
        <v>41488</v>
      </c>
      <c r="F1270" s="3" t="s">
        <v>2811</v>
      </c>
      <c r="G1270" s="5"/>
      <c r="H1270" s="3" t="s">
        <v>2812</v>
      </c>
      <c r="I1270" s="3">
        <v>24</v>
      </c>
      <c r="J1270" s="4">
        <v>41484</v>
      </c>
      <c r="K1270" s="6">
        <v>0.45833333333333331</v>
      </c>
      <c r="L1270" s="3">
        <v>32</v>
      </c>
      <c r="M1270" s="3" t="s">
        <v>2445</v>
      </c>
      <c r="N1270" s="3" t="s">
        <v>2445</v>
      </c>
      <c r="O1270" s="5"/>
      <c r="P1270" s="3" t="s">
        <v>22</v>
      </c>
      <c r="Q1270" s="7"/>
      <c r="R1270" s="7"/>
    </row>
    <row r="1271" spans="1:18" ht="89.25" x14ac:dyDescent="0.25">
      <c r="A1271" s="3" t="s">
        <v>18</v>
      </c>
      <c r="B1271" s="3">
        <v>2013</v>
      </c>
      <c r="C1271" s="3" t="s">
        <v>2058</v>
      </c>
      <c r="D1271" s="3" t="str">
        <f>"428 / 2013"</f>
        <v>428 / 2013</v>
      </c>
      <c r="E1271" s="4">
        <v>41493</v>
      </c>
      <c r="F1271" s="3" t="s">
        <v>2813</v>
      </c>
      <c r="G1271" s="5"/>
      <c r="H1271" s="3" t="s">
        <v>2814</v>
      </c>
      <c r="I1271" s="3">
        <v>24</v>
      </c>
      <c r="J1271" s="4">
        <v>41484</v>
      </c>
      <c r="K1271" s="6">
        <v>0.45833333333333331</v>
      </c>
      <c r="L1271" s="3">
        <v>33</v>
      </c>
      <c r="M1271" s="3" t="s">
        <v>2150</v>
      </c>
      <c r="N1271" s="3" t="s">
        <v>2150</v>
      </c>
      <c r="O1271" s="5"/>
      <c r="P1271" s="3" t="s">
        <v>22</v>
      </c>
      <c r="Q1271" s="7"/>
      <c r="R1271" s="7"/>
    </row>
    <row r="1272" spans="1:18" ht="76.5" x14ac:dyDescent="0.25">
      <c r="A1272" s="3" t="s">
        <v>18</v>
      </c>
      <c r="B1272" s="3">
        <v>2013</v>
      </c>
      <c r="C1272" s="3" t="s">
        <v>2058</v>
      </c>
      <c r="D1272" s="3" t="str">
        <f>"429 / 2013"</f>
        <v>429 / 2013</v>
      </c>
      <c r="E1272" s="4">
        <v>41492</v>
      </c>
      <c r="F1272" s="3" t="s">
        <v>2815</v>
      </c>
      <c r="G1272" s="5"/>
      <c r="H1272" s="3" t="s">
        <v>2816</v>
      </c>
      <c r="I1272" s="3">
        <v>24</v>
      </c>
      <c r="J1272" s="4">
        <v>41484</v>
      </c>
      <c r="K1272" s="6">
        <v>0.45833333333333331</v>
      </c>
      <c r="L1272" s="3">
        <v>34</v>
      </c>
      <c r="M1272" s="3" t="s">
        <v>2817</v>
      </c>
      <c r="N1272" s="3" t="s">
        <v>2817</v>
      </c>
      <c r="O1272" s="5"/>
      <c r="P1272" s="3" t="s">
        <v>22</v>
      </c>
      <c r="Q1272" s="7"/>
      <c r="R1272" s="7"/>
    </row>
    <row r="1273" spans="1:18" ht="140.25" x14ac:dyDescent="0.25">
      <c r="A1273" s="3" t="s">
        <v>18</v>
      </c>
      <c r="B1273" s="3">
        <v>2013</v>
      </c>
      <c r="C1273" s="3" t="s">
        <v>2058</v>
      </c>
      <c r="D1273" s="3" t="str">
        <f>"43 / 2013"</f>
        <v>43 / 2013</v>
      </c>
      <c r="E1273" s="4">
        <v>41317</v>
      </c>
      <c r="F1273" s="3" t="s">
        <v>2818</v>
      </c>
      <c r="G1273" s="5"/>
      <c r="H1273" s="3" t="s">
        <v>2819</v>
      </c>
      <c r="I1273" s="3">
        <v>4</v>
      </c>
      <c r="J1273" s="4">
        <v>41312</v>
      </c>
      <c r="K1273" s="6">
        <v>0.5</v>
      </c>
      <c r="L1273" s="3">
        <v>16</v>
      </c>
      <c r="M1273" s="3" t="s">
        <v>2061</v>
      </c>
      <c r="N1273" s="3" t="s">
        <v>2061</v>
      </c>
      <c r="O1273" s="5"/>
      <c r="P1273" s="3" t="s">
        <v>22</v>
      </c>
      <c r="Q1273" s="7"/>
      <c r="R1273" s="7"/>
    </row>
    <row r="1274" spans="1:18" ht="51" x14ac:dyDescent="0.25">
      <c r="A1274" s="3" t="s">
        <v>18</v>
      </c>
      <c r="B1274" s="3">
        <v>2013</v>
      </c>
      <c r="C1274" s="3" t="s">
        <v>2058</v>
      </c>
      <c r="D1274" s="3" t="str">
        <f>"430 / 2013"</f>
        <v>430 / 2013</v>
      </c>
      <c r="E1274" s="4">
        <v>41485</v>
      </c>
      <c r="F1274" s="3" t="s">
        <v>2820</v>
      </c>
      <c r="G1274" s="5"/>
      <c r="H1274" s="3" t="s">
        <v>2821</v>
      </c>
      <c r="I1274" s="3">
        <v>24</v>
      </c>
      <c r="J1274" s="4">
        <v>41484</v>
      </c>
      <c r="K1274" s="6">
        <v>0.45833333333333331</v>
      </c>
      <c r="L1274" s="5"/>
      <c r="M1274" s="3" t="s">
        <v>2822</v>
      </c>
      <c r="N1274" s="3" t="s">
        <v>2822</v>
      </c>
      <c r="O1274" s="5"/>
      <c r="P1274" s="3" t="s">
        <v>74</v>
      </c>
      <c r="Q1274" s="7"/>
      <c r="R1274" s="7"/>
    </row>
    <row r="1275" spans="1:18" ht="76.5" x14ac:dyDescent="0.25">
      <c r="A1275" s="3" t="s">
        <v>18</v>
      </c>
      <c r="B1275" s="3">
        <v>2013</v>
      </c>
      <c r="C1275" s="3" t="s">
        <v>2058</v>
      </c>
      <c r="D1275" s="3" t="str">
        <f>"431 / 2013"</f>
        <v>431 / 2013</v>
      </c>
      <c r="E1275" s="4">
        <v>41516</v>
      </c>
      <c r="F1275" s="3" t="s">
        <v>2823</v>
      </c>
      <c r="G1275" s="5"/>
      <c r="H1275" s="3" t="s">
        <v>2824</v>
      </c>
      <c r="I1275" s="3">
        <v>25</v>
      </c>
      <c r="J1275" s="4">
        <v>41513</v>
      </c>
      <c r="K1275" s="6">
        <v>0.45833333333333331</v>
      </c>
      <c r="L1275" s="5"/>
      <c r="M1275" s="3" t="s">
        <v>2705</v>
      </c>
      <c r="N1275" s="3" t="s">
        <v>2705</v>
      </c>
      <c r="O1275" s="5"/>
      <c r="P1275" s="3" t="s">
        <v>74</v>
      </c>
      <c r="Q1275" s="7"/>
      <c r="R1275" s="7"/>
    </row>
    <row r="1276" spans="1:18" ht="76.5" x14ac:dyDescent="0.25">
      <c r="A1276" s="3" t="s">
        <v>18</v>
      </c>
      <c r="B1276" s="3">
        <v>2013</v>
      </c>
      <c r="C1276" s="3" t="s">
        <v>2058</v>
      </c>
      <c r="D1276" s="3" t="str">
        <f>"432 / 2013"</f>
        <v>432 / 2013</v>
      </c>
      <c r="E1276" s="4">
        <v>41516</v>
      </c>
      <c r="F1276" s="3" t="s">
        <v>2825</v>
      </c>
      <c r="G1276" s="5"/>
      <c r="H1276" s="3" t="s">
        <v>2826</v>
      </c>
      <c r="I1276" s="3">
        <v>25</v>
      </c>
      <c r="J1276" s="4">
        <v>41513</v>
      </c>
      <c r="K1276" s="6">
        <v>0.45833333333333331</v>
      </c>
      <c r="L1276" s="5"/>
      <c r="M1276" s="3" t="s">
        <v>2110</v>
      </c>
      <c r="N1276" s="3" t="s">
        <v>2110</v>
      </c>
      <c r="O1276" s="5"/>
      <c r="P1276" s="3" t="s">
        <v>74</v>
      </c>
      <c r="Q1276" s="7"/>
      <c r="R1276" s="7"/>
    </row>
    <row r="1277" spans="1:18" ht="38.25" x14ac:dyDescent="0.25">
      <c r="A1277" s="3" t="s">
        <v>18</v>
      </c>
      <c r="B1277" s="3">
        <v>2013</v>
      </c>
      <c r="C1277" s="3" t="s">
        <v>2058</v>
      </c>
      <c r="D1277" s="3" t="str">
        <f>"433 / 2013"</f>
        <v>433 / 2013</v>
      </c>
      <c r="E1277" s="4">
        <v>41519</v>
      </c>
      <c r="F1277" s="3" t="s">
        <v>2827</v>
      </c>
      <c r="G1277" s="5"/>
      <c r="H1277" s="3" t="s">
        <v>2828</v>
      </c>
      <c r="I1277" s="3">
        <v>25</v>
      </c>
      <c r="J1277" s="4">
        <v>41513</v>
      </c>
      <c r="K1277" s="6">
        <v>0.45833333333333331</v>
      </c>
      <c r="L1277" s="5"/>
      <c r="M1277" s="3" t="s">
        <v>2110</v>
      </c>
      <c r="N1277" s="3" t="s">
        <v>2110</v>
      </c>
      <c r="O1277" s="5"/>
      <c r="P1277" s="3" t="s">
        <v>74</v>
      </c>
      <c r="Q1277" s="7"/>
      <c r="R1277" s="7"/>
    </row>
    <row r="1278" spans="1:18" ht="76.5" x14ac:dyDescent="0.25">
      <c r="A1278" s="3" t="s">
        <v>18</v>
      </c>
      <c r="B1278" s="3">
        <v>2013</v>
      </c>
      <c r="C1278" s="3" t="s">
        <v>2058</v>
      </c>
      <c r="D1278" s="3" t="str">
        <f>"434 / 2013"</f>
        <v>434 / 2013</v>
      </c>
      <c r="E1278" s="4">
        <v>41527</v>
      </c>
      <c r="F1278" s="3" t="s">
        <v>2829</v>
      </c>
      <c r="G1278" s="5"/>
      <c r="H1278" s="3" t="s">
        <v>2830</v>
      </c>
      <c r="I1278" s="3">
        <v>25</v>
      </c>
      <c r="J1278" s="4">
        <v>41513</v>
      </c>
      <c r="K1278" s="6">
        <v>0.45833333333333331</v>
      </c>
      <c r="L1278" s="3">
        <v>1</v>
      </c>
      <c r="M1278" s="3" t="s">
        <v>2110</v>
      </c>
      <c r="N1278" s="3" t="s">
        <v>2110</v>
      </c>
      <c r="O1278" s="5"/>
      <c r="P1278" s="3" t="s">
        <v>22</v>
      </c>
      <c r="Q1278" s="7"/>
      <c r="R1278" s="7"/>
    </row>
    <row r="1279" spans="1:18" ht="89.25" x14ac:dyDescent="0.25">
      <c r="A1279" s="3" t="s">
        <v>18</v>
      </c>
      <c r="B1279" s="3">
        <v>2013</v>
      </c>
      <c r="C1279" s="3" t="s">
        <v>2058</v>
      </c>
      <c r="D1279" s="3" t="str">
        <f>"435 / 2013"</f>
        <v>435 / 2013</v>
      </c>
      <c r="E1279" s="4">
        <v>41527</v>
      </c>
      <c r="F1279" s="3" t="s">
        <v>2831</v>
      </c>
      <c r="G1279" s="5"/>
      <c r="H1279" s="3" t="s">
        <v>2832</v>
      </c>
      <c r="I1279" s="3">
        <v>25</v>
      </c>
      <c r="J1279" s="4">
        <v>41513</v>
      </c>
      <c r="K1279" s="6">
        <v>0.45833333333333331</v>
      </c>
      <c r="L1279" s="3">
        <v>2</v>
      </c>
      <c r="M1279" s="3" t="s">
        <v>35</v>
      </c>
      <c r="N1279" s="3" t="s">
        <v>35</v>
      </c>
      <c r="O1279" s="5"/>
      <c r="P1279" s="3" t="s">
        <v>22</v>
      </c>
      <c r="Q1279" s="7"/>
      <c r="R1279" s="7"/>
    </row>
    <row r="1280" spans="1:18" ht="51" x14ac:dyDescent="0.25">
      <c r="A1280" s="3" t="s">
        <v>18</v>
      </c>
      <c r="B1280" s="3">
        <v>2013</v>
      </c>
      <c r="C1280" s="3" t="s">
        <v>2058</v>
      </c>
      <c r="D1280" s="3" t="str">
        <f>"436 / 2013"</f>
        <v>436 / 2013</v>
      </c>
      <c r="E1280" s="4">
        <v>41515</v>
      </c>
      <c r="F1280" s="3" t="s">
        <v>2833</v>
      </c>
      <c r="G1280" s="5"/>
      <c r="H1280" s="3" t="s">
        <v>2834</v>
      </c>
      <c r="I1280" s="3">
        <v>25</v>
      </c>
      <c r="J1280" s="4">
        <v>41513</v>
      </c>
      <c r="K1280" s="6">
        <v>0.45833333333333331</v>
      </c>
      <c r="L1280" s="3">
        <v>3</v>
      </c>
      <c r="M1280" s="3" t="s">
        <v>2507</v>
      </c>
      <c r="N1280" s="3" t="s">
        <v>2507</v>
      </c>
      <c r="O1280" s="5"/>
      <c r="P1280" s="3" t="s">
        <v>22</v>
      </c>
      <c r="Q1280" s="7"/>
      <c r="R1280" s="7"/>
    </row>
    <row r="1281" spans="1:18" ht="102" x14ac:dyDescent="0.25">
      <c r="A1281" s="3" t="s">
        <v>18</v>
      </c>
      <c r="B1281" s="3">
        <v>2013</v>
      </c>
      <c r="C1281" s="3" t="s">
        <v>2058</v>
      </c>
      <c r="D1281" s="3" t="str">
        <f>"437 / 2013"</f>
        <v>437 / 2013</v>
      </c>
      <c r="E1281" s="4">
        <v>41516</v>
      </c>
      <c r="F1281" s="3" t="s">
        <v>2835</v>
      </c>
      <c r="G1281" s="5"/>
      <c r="H1281" s="3" t="s">
        <v>2836</v>
      </c>
      <c r="I1281" s="3">
        <v>25</v>
      </c>
      <c r="J1281" s="4">
        <v>41513</v>
      </c>
      <c r="K1281" s="6">
        <v>0.45833333333333331</v>
      </c>
      <c r="L1281" s="3">
        <v>4</v>
      </c>
      <c r="M1281" s="3" t="s">
        <v>2837</v>
      </c>
      <c r="N1281" s="3" t="s">
        <v>2837</v>
      </c>
      <c r="O1281" s="5"/>
      <c r="P1281" s="3" t="s">
        <v>22</v>
      </c>
      <c r="Q1281" s="7"/>
      <c r="R1281" s="7"/>
    </row>
    <row r="1282" spans="1:18" ht="51" x14ac:dyDescent="0.25">
      <c r="A1282" s="3" t="s">
        <v>18</v>
      </c>
      <c r="B1282" s="3">
        <v>2013</v>
      </c>
      <c r="C1282" s="3" t="s">
        <v>2058</v>
      </c>
      <c r="D1282" s="3" t="str">
        <f>"438 / 2013"</f>
        <v>438 / 2013</v>
      </c>
      <c r="E1282" s="4">
        <v>41530</v>
      </c>
      <c r="F1282" s="3" t="s">
        <v>2838</v>
      </c>
      <c r="G1282" s="5"/>
      <c r="H1282" s="3" t="s">
        <v>2839</v>
      </c>
      <c r="I1282" s="3">
        <v>25</v>
      </c>
      <c r="J1282" s="4">
        <v>41513</v>
      </c>
      <c r="K1282" s="6">
        <v>0.45833333333333331</v>
      </c>
      <c r="L1282" s="3">
        <v>5</v>
      </c>
      <c r="M1282" s="3" t="s">
        <v>2110</v>
      </c>
      <c r="N1282" s="3" t="s">
        <v>2110</v>
      </c>
      <c r="O1282" s="5"/>
      <c r="P1282" s="3" t="s">
        <v>22</v>
      </c>
      <c r="Q1282" s="7"/>
      <c r="R1282" s="7"/>
    </row>
    <row r="1283" spans="1:18" ht="89.25" x14ac:dyDescent="0.25">
      <c r="A1283" s="3" t="s">
        <v>18</v>
      </c>
      <c r="B1283" s="3">
        <v>2013</v>
      </c>
      <c r="C1283" s="3" t="s">
        <v>2058</v>
      </c>
      <c r="D1283" s="3" t="str">
        <f>"439 / 2013"</f>
        <v>439 / 2013</v>
      </c>
      <c r="E1283" s="4">
        <v>41526</v>
      </c>
      <c r="F1283" s="4">
        <v>41526</v>
      </c>
      <c r="G1283" s="5"/>
      <c r="H1283" s="3" t="s">
        <v>2840</v>
      </c>
      <c r="I1283" s="3">
        <v>25</v>
      </c>
      <c r="J1283" s="4">
        <v>41513</v>
      </c>
      <c r="K1283" s="6">
        <v>0.45833333333333331</v>
      </c>
      <c r="L1283" s="3">
        <v>6</v>
      </c>
      <c r="M1283" s="3" t="s">
        <v>29</v>
      </c>
      <c r="N1283" s="3" t="s">
        <v>29</v>
      </c>
      <c r="O1283" s="5"/>
      <c r="P1283" s="3" t="s">
        <v>22</v>
      </c>
      <c r="Q1283" s="7"/>
      <c r="R1283" s="7"/>
    </row>
    <row r="1284" spans="1:18" ht="63.75" x14ac:dyDescent="0.25">
      <c r="A1284" s="3" t="s">
        <v>18</v>
      </c>
      <c r="B1284" s="3">
        <v>2013</v>
      </c>
      <c r="C1284" s="3" t="s">
        <v>2058</v>
      </c>
      <c r="D1284" s="3" t="str">
        <f>"44 / 2013"</f>
        <v>44 / 2013</v>
      </c>
      <c r="E1284" s="4">
        <v>41333</v>
      </c>
      <c r="F1284" s="3" t="s">
        <v>2841</v>
      </c>
      <c r="G1284" s="5"/>
      <c r="H1284" s="3" t="s">
        <v>2842</v>
      </c>
      <c r="I1284" s="3">
        <v>4</v>
      </c>
      <c r="J1284" s="4">
        <v>41312</v>
      </c>
      <c r="K1284" s="6">
        <v>0.5</v>
      </c>
      <c r="L1284" s="3">
        <v>17</v>
      </c>
      <c r="M1284" s="3" t="s">
        <v>2061</v>
      </c>
      <c r="N1284" s="3" t="s">
        <v>2061</v>
      </c>
      <c r="O1284" s="5"/>
      <c r="P1284" s="3" t="s">
        <v>22</v>
      </c>
      <c r="Q1284" s="7"/>
      <c r="R1284" s="7"/>
    </row>
    <row r="1285" spans="1:18" ht="89.25" x14ac:dyDescent="0.25">
      <c r="A1285" s="3" t="s">
        <v>18</v>
      </c>
      <c r="B1285" s="3">
        <v>2013</v>
      </c>
      <c r="C1285" s="3" t="s">
        <v>2058</v>
      </c>
      <c r="D1285" s="3" t="str">
        <f>"440 / 2013"</f>
        <v>440 / 2013</v>
      </c>
      <c r="E1285" s="4">
        <v>41526</v>
      </c>
      <c r="F1285" s="3" t="s">
        <v>2843</v>
      </c>
      <c r="G1285" s="5"/>
      <c r="H1285" s="3" t="s">
        <v>2844</v>
      </c>
      <c r="I1285" s="3">
        <v>25</v>
      </c>
      <c r="J1285" s="4">
        <v>41513</v>
      </c>
      <c r="K1285" s="6">
        <v>0.45833333333333331</v>
      </c>
      <c r="L1285" s="3">
        <v>7</v>
      </c>
      <c r="M1285" s="3" t="s">
        <v>29</v>
      </c>
      <c r="N1285" s="3" t="s">
        <v>29</v>
      </c>
      <c r="O1285" s="5"/>
      <c r="P1285" s="3" t="s">
        <v>22</v>
      </c>
      <c r="Q1285" s="7"/>
      <c r="R1285" s="7"/>
    </row>
    <row r="1286" spans="1:18" ht="89.25" x14ac:dyDescent="0.25">
      <c r="A1286" s="3" t="s">
        <v>18</v>
      </c>
      <c r="B1286" s="3">
        <v>2013</v>
      </c>
      <c r="C1286" s="3" t="s">
        <v>2058</v>
      </c>
      <c r="D1286" s="3" t="str">
        <f>"441 / 2013"</f>
        <v>441 / 2013</v>
      </c>
      <c r="E1286" s="4">
        <v>41526</v>
      </c>
      <c r="F1286" s="3" t="s">
        <v>2845</v>
      </c>
      <c r="G1286" s="5"/>
      <c r="H1286" s="3" t="s">
        <v>2846</v>
      </c>
      <c r="I1286" s="3">
        <v>25</v>
      </c>
      <c r="J1286" s="4">
        <v>41513</v>
      </c>
      <c r="K1286" s="6">
        <v>0.45833333333333331</v>
      </c>
      <c r="L1286" s="3">
        <v>8</v>
      </c>
      <c r="M1286" s="3" t="s">
        <v>29</v>
      </c>
      <c r="N1286" s="3" t="s">
        <v>29</v>
      </c>
      <c r="O1286" s="5"/>
      <c r="P1286" s="3" t="s">
        <v>22</v>
      </c>
      <c r="Q1286" s="7"/>
      <c r="R1286" s="7"/>
    </row>
    <row r="1287" spans="1:18" ht="102" x14ac:dyDescent="0.25">
      <c r="A1287" s="3" t="s">
        <v>18</v>
      </c>
      <c r="B1287" s="3">
        <v>2013</v>
      </c>
      <c r="C1287" s="3" t="s">
        <v>2058</v>
      </c>
      <c r="D1287" s="3" t="str">
        <f>"442 / 2013"</f>
        <v>442 / 2013</v>
      </c>
      <c r="E1287" s="4">
        <v>41520</v>
      </c>
      <c r="F1287" s="3" t="s">
        <v>2847</v>
      </c>
      <c r="G1287" s="5"/>
      <c r="H1287" s="3" t="s">
        <v>2848</v>
      </c>
      <c r="I1287" s="3">
        <v>25</v>
      </c>
      <c r="J1287" s="4">
        <v>41513</v>
      </c>
      <c r="K1287" s="6">
        <v>0.45833333333333331</v>
      </c>
      <c r="L1287" s="3">
        <v>9</v>
      </c>
      <c r="M1287" s="3" t="s">
        <v>2132</v>
      </c>
      <c r="N1287" s="3" t="s">
        <v>2132</v>
      </c>
      <c r="O1287" s="5"/>
      <c r="P1287" s="3" t="s">
        <v>22</v>
      </c>
      <c r="Q1287" s="7"/>
      <c r="R1287" s="7"/>
    </row>
    <row r="1288" spans="1:18" ht="102" x14ac:dyDescent="0.25">
      <c r="A1288" s="3" t="s">
        <v>18</v>
      </c>
      <c r="B1288" s="3">
        <v>2013</v>
      </c>
      <c r="C1288" s="3" t="s">
        <v>2058</v>
      </c>
      <c r="D1288" s="3" t="str">
        <f>"443 / 2013"</f>
        <v>443 / 2013</v>
      </c>
      <c r="E1288" s="4">
        <v>41519</v>
      </c>
      <c r="F1288" s="3" t="s">
        <v>2849</v>
      </c>
      <c r="G1288" s="5"/>
      <c r="H1288" s="3" t="s">
        <v>2850</v>
      </c>
      <c r="I1288" s="3">
        <v>25</v>
      </c>
      <c r="J1288" s="4">
        <v>41513</v>
      </c>
      <c r="K1288" s="6">
        <v>0.45833333333333331</v>
      </c>
      <c r="L1288" s="3">
        <v>10</v>
      </c>
      <c r="M1288" s="3" t="s">
        <v>2099</v>
      </c>
      <c r="N1288" s="3" t="s">
        <v>2099</v>
      </c>
      <c r="O1288" s="5"/>
      <c r="P1288" s="3" t="s">
        <v>22</v>
      </c>
      <c r="Q1288" s="7"/>
      <c r="R1288" s="7"/>
    </row>
    <row r="1289" spans="1:18" ht="76.5" x14ac:dyDescent="0.25">
      <c r="A1289" s="3" t="s">
        <v>18</v>
      </c>
      <c r="B1289" s="3">
        <v>2013</v>
      </c>
      <c r="C1289" s="3" t="s">
        <v>2058</v>
      </c>
      <c r="D1289" s="3" t="str">
        <f>"445/ 2013"</f>
        <v>445/ 2013</v>
      </c>
      <c r="E1289" s="4">
        <v>41527</v>
      </c>
      <c r="F1289" s="3" t="s">
        <v>2851</v>
      </c>
      <c r="G1289" s="5"/>
      <c r="H1289" s="3" t="s">
        <v>2852</v>
      </c>
      <c r="I1289" s="3">
        <v>25</v>
      </c>
      <c r="J1289" s="4">
        <v>41513</v>
      </c>
      <c r="K1289" s="6">
        <v>0.45833333333333331</v>
      </c>
      <c r="L1289" s="3">
        <v>12</v>
      </c>
      <c r="M1289" s="3" t="s">
        <v>2445</v>
      </c>
      <c r="N1289" s="3" t="s">
        <v>2445</v>
      </c>
      <c r="O1289" s="5"/>
      <c r="P1289" s="3" t="s">
        <v>22</v>
      </c>
      <c r="Q1289" s="7"/>
      <c r="R1289" s="7"/>
    </row>
    <row r="1290" spans="1:18" ht="76.5" x14ac:dyDescent="0.25">
      <c r="A1290" s="3" t="s">
        <v>18</v>
      </c>
      <c r="B1290" s="3">
        <v>2013</v>
      </c>
      <c r="C1290" s="3" t="s">
        <v>2058</v>
      </c>
      <c r="D1290" s="3" t="str">
        <f>"446 / 2013"</f>
        <v>446 / 2013</v>
      </c>
      <c r="E1290" s="4">
        <v>41515</v>
      </c>
      <c r="F1290" s="3" t="s">
        <v>2853</v>
      </c>
      <c r="G1290" s="5"/>
      <c r="H1290" s="3" t="s">
        <v>2854</v>
      </c>
      <c r="I1290" s="3">
        <v>25</v>
      </c>
      <c r="J1290" s="4">
        <v>41513</v>
      </c>
      <c r="K1290" s="6">
        <v>0.45833333333333331</v>
      </c>
      <c r="L1290" s="3">
        <v>13</v>
      </c>
      <c r="M1290" s="3" t="s">
        <v>2445</v>
      </c>
      <c r="N1290" s="3" t="s">
        <v>2445</v>
      </c>
      <c r="O1290" s="5"/>
      <c r="P1290" s="3" t="s">
        <v>22</v>
      </c>
      <c r="Q1290" s="7"/>
      <c r="R1290" s="7"/>
    </row>
    <row r="1291" spans="1:18" ht="51" x14ac:dyDescent="0.25">
      <c r="A1291" s="3" t="s">
        <v>18</v>
      </c>
      <c r="B1291" s="3">
        <v>2013</v>
      </c>
      <c r="C1291" s="3" t="s">
        <v>2058</v>
      </c>
      <c r="D1291" s="3" t="str">
        <f>"447 / 2013"</f>
        <v>447 / 2013</v>
      </c>
      <c r="E1291" s="4">
        <v>41515</v>
      </c>
      <c r="F1291" s="3" t="s">
        <v>2855</v>
      </c>
      <c r="G1291" s="5"/>
      <c r="H1291" s="3" t="s">
        <v>2856</v>
      </c>
      <c r="I1291" s="3">
        <v>25</v>
      </c>
      <c r="J1291" s="4">
        <v>41513</v>
      </c>
      <c r="K1291" s="6">
        <v>0.45833333333333331</v>
      </c>
      <c r="L1291" s="3">
        <v>14</v>
      </c>
      <c r="M1291" s="3" t="s">
        <v>2110</v>
      </c>
      <c r="N1291" s="3" t="s">
        <v>2110</v>
      </c>
      <c r="O1291" s="5"/>
      <c r="P1291" s="3" t="s">
        <v>22</v>
      </c>
      <c r="Q1291" s="7"/>
      <c r="R1291" s="7"/>
    </row>
    <row r="1292" spans="1:18" ht="127.5" x14ac:dyDescent="0.25">
      <c r="A1292" s="3" t="s">
        <v>18</v>
      </c>
      <c r="B1292" s="3">
        <v>2013</v>
      </c>
      <c r="C1292" s="3" t="s">
        <v>2058</v>
      </c>
      <c r="D1292" s="3" t="str">
        <f>"448 / 2013"</f>
        <v>448 / 2013</v>
      </c>
      <c r="E1292" s="4">
        <v>41514</v>
      </c>
      <c r="F1292" s="3" t="s">
        <v>2857</v>
      </c>
      <c r="G1292" s="5"/>
      <c r="H1292" s="3" t="s">
        <v>2858</v>
      </c>
      <c r="I1292" s="3">
        <v>25</v>
      </c>
      <c r="J1292" s="4">
        <v>41513</v>
      </c>
      <c r="K1292" s="6">
        <v>0.45833333333333331</v>
      </c>
      <c r="L1292" s="3">
        <v>15</v>
      </c>
      <c r="M1292" s="3" t="s">
        <v>2099</v>
      </c>
      <c r="N1292" s="3" t="s">
        <v>2099</v>
      </c>
      <c r="O1292" s="5"/>
      <c r="P1292" s="3" t="s">
        <v>22</v>
      </c>
      <c r="Q1292" s="7"/>
      <c r="R1292" s="7"/>
    </row>
    <row r="1293" spans="1:18" ht="89.25" x14ac:dyDescent="0.25">
      <c r="A1293" s="3" t="s">
        <v>18</v>
      </c>
      <c r="B1293" s="3">
        <v>2013</v>
      </c>
      <c r="C1293" s="3" t="s">
        <v>2058</v>
      </c>
      <c r="D1293" s="3" t="str">
        <f>"449 / 2013"</f>
        <v>449 / 2013</v>
      </c>
      <c r="E1293" s="4">
        <v>41527</v>
      </c>
      <c r="F1293" s="3" t="s">
        <v>2859</v>
      </c>
      <c r="G1293" s="5"/>
      <c r="H1293" s="3" t="s">
        <v>2860</v>
      </c>
      <c r="I1293" s="3">
        <v>25</v>
      </c>
      <c r="J1293" s="4">
        <v>41513</v>
      </c>
      <c r="K1293" s="6">
        <v>0.45833333333333331</v>
      </c>
      <c r="L1293" s="3">
        <v>16</v>
      </c>
      <c r="M1293" s="3" t="s">
        <v>2099</v>
      </c>
      <c r="N1293" s="3" t="s">
        <v>2099</v>
      </c>
      <c r="O1293" s="5"/>
      <c r="P1293" s="3" t="s">
        <v>22</v>
      </c>
      <c r="Q1293" s="7"/>
      <c r="R1293" s="7"/>
    </row>
    <row r="1294" spans="1:18" ht="51" x14ac:dyDescent="0.25">
      <c r="A1294" s="3" t="s">
        <v>18</v>
      </c>
      <c r="B1294" s="3">
        <v>2013</v>
      </c>
      <c r="C1294" s="3" t="s">
        <v>2058</v>
      </c>
      <c r="D1294" s="3" t="str">
        <f>"45 / 2013"</f>
        <v>45 / 2013</v>
      </c>
      <c r="E1294" s="4">
        <v>41333</v>
      </c>
      <c r="F1294" s="4">
        <v>41333</v>
      </c>
      <c r="G1294" s="5"/>
      <c r="H1294" s="3" t="s">
        <v>2861</v>
      </c>
      <c r="I1294" s="3">
        <v>4</v>
      </c>
      <c r="J1294" s="4">
        <v>41312</v>
      </c>
      <c r="K1294" s="6">
        <v>0.5</v>
      </c>
      <c r="L1294" s="3">
        <v>18</v>
      </c>
      <c r="M1294" s="3" t="s">
        <v>2061</v>
      </c>
      <c r="N1294" s="3" t="s">
        <v>2061</v>
      </c>
      <c r="O1294" s="5"/>
      <c r="P1294" s="3" t="s">
        <v>22</v>
      </c>
      <c r="Q1294" s="7"/>
      <c r="R1294" s="7"/>
    </row>
    <row r="1295" spans="1:18" ht="114.75" x14ac:dyDescent="0.25">
      <c r="A1295" s="3" t="s">
        <v>18</v>
      </c>
      <c r="B1295" s="3">
        <v>2013</v>
      </c>
      <c r="C1295" s="3" t="s">
        <v>2058</v>
      </c>
      <c r="D1295" s="3" t="str">
        <f>"450 / 2013"</f>
        <v>450 / 2013</v>
      </c>
      <c r="E1295" s="4">
        <v>41515</v>
      </c>
      <c r="F1295" s="3" t="s">
        <v>2862</v>
      </c>
      <c r="G1295" s="5"/>
      <c r="H1295" s="3" t="s">
        <v>2863</v>
      </c>
      <c r="I1295" s="3">
        <v>25</v>
      </c>
      <c r="J1295" s="4">
        <v>41513</v>
      </c>
      <c r="K1295" s="6">
        <v>0.45833333333333331</v>
      </c>
      <c r="L1295" s="3">
        <v>17</v>
      </c>
      <c r="M1295" s="3" t="s">
        <v>2099</v>
      </c>
      <c r="N1295" s="3" t="s">
        <v>2099</v>
      </c>
      <c r="O1295" s="5"/>
      <c r="P1295" s="3" t="s">
        <v>22</v>
      </c>
      <c r="Q1295" s="7"/>
      <c r="R1295" s="7"/>
    </row>
    <row r="1296" spans="1:18" ht="102" x14ac:dyDescent="0.25">
      <c r="A1296" s="3" t="s">
        <v>18</v>
      </c>
      <c r="B1296" s="3">
        <v>2013</v>
      </c>
      <c r="C1296" s="3" t="s">
        <v>2058</v>
      </c>
      <c r="D1296" s="3" t="str">
        <f>"451 / 2013"</f>
        <v>451 / 2013</v>
      </c>
      <c r="E1296" s="4">
        <v>41519</v>
      </c>
      <c r="F1296" s="3" t="s">
        <v>2864</v>
      </c>
      <c r="G1296" s="5"/>
      <c r="H1296" s="3" t="s">
        <v>2865</v>
      </c>
      <c r="I1296" s="3">
        <v>25</v>
      </c>
      <c r="J1296" s="4">
        <v>41513</v>
      </c>
      <c r="K1296" s="6">
        <v>0.45833333333333331</v>
      </c>
      <c r="L1296" s="3">
        <v>18</v>
      </c>
      <c r="M1296" s="3" t="s">
        <v>2099</v>
      </c>
      <c r="N1296" s="3" t="s">
        <v>2099</v>
      </c>
      <c r="O1296" s="5"/>
      <c r="P1296" s="3" t="s">
        <v>22</v>
      </c>
      <c r="Q1296" s="7"/>
      <c r="R1296" s="7"/>
    </row>
    <row r="1297" spans="1:18" ht="51" x14ac:dyDescent="0.25">
      <c r="A1297" s="3" t="s">
        <v>18</v>
      </c>
      <c r="B1297" s="3">
        <v>2013</v>
      </c>
      <c r="C1297" s="3" t="s">
        <v>2058</v>
      </c>
      <c r="D1297" s="3" t="str">
        <f>"452 / 2013"</f>
        <v>452 / 2013</v>
      </c>
      <c r="E1297" s="4">
        <v>41520</v>
      </c>
      <c r="F1297" s="3" t="s">
        <v>2866</v>
      </c>
      <c r="G1297" s="5"/>
      <c r="H1297" s="3" t="s">
        <v>2867</v>
      </c>
      <c r="I1297" s="3">
        <v>25</v>
      </c>
      <c r="J1297" s="4">
        <v>41513</v>
      </c>
      <c r="K1297" s="6">
        <v>0.45833333333333331</v>
      </c>
      <c r="L1297" s="3">
        <v>19</v>
      </c>
      <c r="M1297" s="3" t="s">
        <v>2110</v>
      </c>
      <c r="N1297" s="3" t="s">
        <v>2110</v>
      </c>
      <c r="O1297" s="5"/>
      <c r="P1297" s="3" t="s">
        <v>22</v>
      </c>
      <c r="Q1297" s="7"/>
      <c r="R1297" s="7"/>
    </row>
    <row r="1298" spans="1:18" ht="76.5" x14ac:dyDescent="0.25">
      <c r="A1298" s="3" t="s">
        <v>18</v>
      </c>
      <c r="B1298" s="3">
        <v>2013</v>
      </c>
      <c r="C1298" s="3" t="s">
        <v>2058</v>
      </c>
      <c r="D1298" s="3" t="str">
        <f>"454 / 2013"</f>
        <v>454 / 2013</v>
      </c>
      <c r="E1298" s="4">
        <v>41515</v>
      </c>
      <c r="F1298" s="3" t="s">
        <v>2868</v>
      </c>
      <c r="G1298" s="5"/>
      <c r="H1298" s="3" t="s">
        <v>2869</v>
      </c>
      <c r="I1298" s="3">
        <v>25</v>
      </c>
      <c r="J1298" s="4">
        <v>41513</v>
      </c>
      <c r="K1298" s="6">
        <v>0.45833333333333331</v>
      </c>
      <c r="L1298" s="3">
        <v>21</v>
      </c>
      <c r="M1298" s="3" t="s">
        <v>2561</v>
      </c>
      <c r="N1298" s="3" t="s">
        <v>2561</v>
      </c>
      <c r="O1298" s="5"/>
      <c r="P1298" s="3" t="s">
        <v>22</v>
      </c>
      <c r="Q1298" s="7"/>
      <c r="R1298" s="7"/>
    </row>
    <row r="1299" spans="1:18" ht="165.75" x14ac:dyDescent="0.25">
      <c r="A1299" s="3" t="s">
        <v>18</v>
      </c>
      <c r="B1299" s="3">
        <v>2013</v>
      </c>
      <c r="C1299" s="3" t="s">
        <v>2058</v>
      </c>
      <c r="D1299" s="3" t="str">
        <f>"456 / 2013"</f>
        <v>456 / 2013</v>
      </c>
      <c r="E1299" s="4">
        <v>41520</v>
      </c>
      <c r="F1299" s="3" t="s">
        <v>2870</v>
      </c>
      <c r="G1299" s="5"/>
      <c r="H1299" s="3" t="s">
        <v>2871</v>
      </c>
      <c r="I1299" s="3">
        <v>25</v>
      </c>
      <c r="J1299" s="4">
        <v>41513</v>
      </c>
      <c r="K1299" s="6">
        <v>0.45833333333333331</v>
      </c>
      <c r="L1299" s="3">
        <v>23</v>
      </c>
      <c r="M1299" s="3" t="s">
        <v>2110</v>
      </c>
      <c r="N1299" s="3" t="s">
        <v>2110</v>
      </c>
      <c r="O1299" s="5"/>
      <c r="P1299" s="3" t="s">
        <v>22</v>
      </c>
      <c r="Q1299" s="7"/>
      <c r="R1299" s="7"/>
    </row>
    <row r="1300" spans="1:18" ht="89.25" x14ac:dyDescent="0.25">
      <c r="A1300" s="3" t="s">
        <v>18</v>
      </c>
      <c r="B1300" s="3">
        <v>2013</v>
      </c>
      <c r="C1300" s="3" t="s">
        <v>2058</v>
      </c>
      <c r="D1300" s="3" t="str">
        <f>"457 / 2013"</f>
        <v>457 / 2013</v>
      </c>
      <c r="E1300" s="4">
        <v>41515</v>
      </c>
      <c r="F1300" s="3" t="s">
        <v>2872</v>
      </c>
      <c r="G1300" s="5"/>
      <c r="H1300" s="3" t="s">
        <v>2873</v>
      </c>
      <c r="I1300" s="3">
        <v>25</v>
      </c>
      <c r="J1300" s="4">
        <v>41513</v>
      </c>
      <c r="K1300" s="6">
        <v>0.45833333333333331</v>
      </c>
      <c r="L1300" s="3">
        <v>24</v>
      </c>
      <c r="M1300" s="3" t="s">
        <v>2110</v>
      </c>
      <c r="N1300" s="3" t="s">
        <v>2110</v>
      </c>
      <c r="O1300" s="5"/>
      <c r="P1300" s="3" t="s">
        <v>22</v>
      </c>
      <c r="Q1300" s="7"/>
      <c r="R1300" s="7"/>
    </row>
    <row r="1301" spans="1:18" ht="51" x14ac:dyDescent="0.25">
      <c r="A1301" s="3" t="s">
        <v>18</v>
      </c>
      <c r="B1301" s="3">
        <v>2013</v>
      </c>
      <c r="C1301" s="3" t="s">
        <v>2058</v>
      </c>
      <c r="D1301" s="3" t="str">
        <f>"458 / 2013"</f>
        <v>458 / 2013</v>
      </c>
      <c r="E1301" s="4">
        <v>41523</v>
      </c>
      <c r="F1301" s="3" t="s">
        <v>2874</v>
      </c>
      <c r="G1301" s="5"/>
      <c r="H1301" s="3" t="s">
        <v>2875</v>
      </c>
      <c r="I1301" s="3">
        <v>26</v>
      </c>
      <c r="J1301" s="4">
        <v>41522</v>
      </c>
      <c r="K1301" s="6">
        <v>0.45833333333333331</v>
      </c>
      <c r="L1301" s="5"/>
      <c r="M1301" s="3" t="s">
        <v>2150</v>
      </c>
      <c r="N1301" s="3" t="s">
        <v>2150</v>
      </c>
      <c r="O1301" s="5"/>
      <c r="P1301" s="3" t="s">
        <v>74</v>
      </c>
      <c r="Q1301" s="7"/>
      <c r="R1301" s="7"/>
    </row>
    <row r="1302" spans="1:18" ht="76.5" x14ac:dyDescent="0.25">
      <c r="A1302" s="3" t="s">
        <v>18</v>
      </c>
      <c r="B1302" s="3">
        <v>2013</v>
      </c>
      <c r="C1302" s="3" t="s">
        <v>2058</v>
      </c>
      <c r="D1302" s="3" t="str">
        <f>"459 / 2013"</f>
        <v>459 / 2013</v>
      </c>
      <c r="E1302" s="4">
        <v>41529</v>
      </c>
      <c r="F1302" s="3" t="s">
        <v>2876</v>
      </c>
      <c r="G1302" s="5"/>
      <c r="H1302" s="3" t="s">
        <v>2877</v>
      </c>
      <c r="I1302" s="3">
        <v>26</v>
      </c>
      <c r="J1302" s="4">
        <v>41522</v>
      </c>
      <c r="K1302" s="6">
        <v>0.45833333333333331</v>
      </c>
      <c r="L1302" s="5"/>
      <c r="M1302" s="3" t="s">
        <v>2099</v>
      </c>
      <c r="N1302" s="3" t="s">
        <v>2099</v>
      </c>
      <c r="O1302" s="5"/>
      <c r="P1302" s="3" t="s">
        <v>74</v>
      </c>
      <c r="Q1302" s="7"/>
      <c r="R1302" s="7"/>
    </row>
    <row r="1303" spans="1:18" ht="51" x14ac:dyDescent="0.25">
      <c r="A1303" s="3" t="s">
        <v>18</v>
      </c>
      <c r="B1303" s="3">
        <v>2013</v>
      </c>
      <c r="C1303" s="3" t="s">
        <v>2058</v>
      </c>
      <c r="D1303" s="3" t="str">
        <f>"46 / 2013"</f>
        <v>46 / 2013</v>
      </c>
      <c r="E1303" s="4">
        <v>41319</v>
      </c>
      <c r="F1303" s="3" t="s">
        <v>2878</v>
      </c>
      <c r="G1303" s="5"/>
      <c r="H1303" s="3" t="s">
        <v>2879</v>
      </c>
      <c r="I1303" s="3">
        <v>4</v>
      </c>
      <c r="J1303" s="4">
        <v>41312</v>
      </c>
      <c r="K1303" s="6">
        <v>0.5</v>
      </c>
      <c r="L1303" s="3">
        <v>19</v>
      </c>
      <c r="M1303" s="3" t="s">
        <v>2880</v>
      </c>
      <c r="N1303" s="3" t="s">
        <v>2880</v>
      </c>
      <c r="O1303" s="5"/>
      <c r="P1303" s="3" t="s">
        <v>22</v>
      </c>
      <c r="Q1303" s="7"/>
      <c r="R1303" s="7"/>
    </row>
    <row r="1304" spans="1:18" ht="76.5" x14ac:dyDescent="0.25">
      <c r="A1304" s="3" t="s">
        <v>18</v>
      </c>
      <c r="B1304" s="3">
        <v>2013</v>
      </c>
      <c r="C1304" s="3" t="s">
        <v>2058</v>
      </c>
      <c r="D1304" s="3" t="str">
        <f>"460 / 2013"</f>
        <v>460 / 2013</v>
      </c>
      <c r="E1304" s="4">
        <v>41527</v>
      </c>
      <c r="F1304" s="3" t="s">
        <v>2881</v>
      </c>
      <c r="G1304" s="5"/>
      <c r="H1304" s="3" t="s">
        <v>2882</v>
      </c>
      <c r="I1304" s="3">
        <v>26</v>
      </c>
      <c r="J1304" s="4">
        <v>41522</v>
      </c>
      <c r="K1304" s="6">
        <v>0.45833333333333331</v>
      </c>
      <c r="L1304" s="5"/>
      <c r="M1304" s="3" t="s">
        <v>2110</v>
      </c>
      <c r="N1304" s="3" t="s">
        <v>2110</v>
      </c>
      <c r="O1304" s="5"/>
      <c r="P1304" s="3" t="s">
        <v>74</v>
      </c>
      <c r="Q1304" s="7"/>
      <c r="R1304" s="7"/>
    </row>
    <row r="1305" spans="1:18" ht="51" x14ac:dyDescent="0.25">
      <c r="A1305" s="3" t="s">
        <v>18</v>
      </c>
      <c r="B1305" s="3">
        <v>2013</v>
      </c>
      <c r="C1305" s="3" t="s">
        <v>2058</v>
      </c>
      <c r="D1305" s="3" t="str">
        <f>"462 / 2013"</f>
        <v>462 / 2013</v>
      </c>
      <c r="E1305" s="4">
        <v>41527</v>
      </c>
      <c r="F1305" s="3" t="s">
        <v>2883</v>
      </c>
      <c r="G1305" s="5"/>
      <c r="H1305" s="3" t="s">
        <v>2884</v>
      </c>
      <c r="I1305" s="3">
        <v>26</v>
      </c>
      <c r="J1305" s="4">
        <v>41522</v>
      </c>
      <c r="K1305" s="6">
        <v>0.45833333333333331</v>
      </c>
      <c r="L1305" s="3">
        <v>2</v>
      </c>
      <c r="M1305" s="3" t="s">
        <v>2061</v>
      </c>
      <c r="N1305" s="3" t="s">
        <v>2061</v>
      </c>
      <c r="O1305" s="5"/>
      <c r="P1305" s="3" t="s">
        <v>22</v>
      </c>
      <c r="Q1305" s="7"/>
      <c r="R1305" s="7"/>
    </row>
    <row r="1306" spans="1:18" ht="38.25" x14ac:dyDescent="0.25">
      <c r="A1306" s="3" t="s">
        <v>18</v>
      </c>
      <c r="B1306" s="3">
        <v>2013</v>
      </c>
      <c r="C1306" s="3" t="s">
        <v>2058</v>
      </c>
      <c r="D1306" s="3" t="str">
        <f>"463 / 2013"</f>
        <v>463 / 2013</v>
      </c>
      <c r="E1306" s="4">
        <v>41522</v>
      </c>
      <c r="F1306" s="3" t="s">
        <v>2885</v>
      </c>
      <c r="G1306" s="5"/>
      <c r="H1306" s="3" t="s">
        <v>2886</v>
      </c>
      <c r="I1306" s="3">
        <v>26</v>
      </c>
      <c r="J1306" s="4">
        <v>41522</v>
      </c>
      <c r="K1306" s="6">
        <v>0.45833333333333331</v>
      </c>
      <c r="L1306" s="3">
        <v>3</v>
      </c>
      <c r="M1306" s="3" t="s">
        <v>2887</v>
      </c>
      <c r="N1306" s="3" t="s">
        <v>2058</v>
      </c>
      <c r="O1306" s="5"/>
      <c r="P1306" s="3" t="s">
        <v>22</v>
      </c>
      <c r="Q1306" s="7"/>
      <c r="R1306" s="7"/>
    </row>
    <row r="1307" spans="1:18" ht="89.25" x14ac:dyDescent="0.25">
      <c r="A1307" s="3" t="s">
        <v>18</v>
      </c>
      <c r="B1307" s="3">
        <v>2013</v>
      </c>
      <c r="C1307" s="3" t="s">
        <v>2058</v>
      </c>
      <c r="D1307" s="3" t="str">
        <f>"465 / 2013"</f>
        <v>465 / 2013</v>
      </c>
      <c r="E1307" s="4">
        <v>41530</v>
      </c>
      <c r="F1307" s="3" t="s">
        <v>2888</v>
      </c>
      <c r="G1307" s="5"/>
      <c r="H1307" s="3" t="s">
        <v>2889</v>
      </c>
      <c r="I1307" s="3">
        <v>26</v>
      </c>
      <c r="J1307" s="4">
        <v>41522</v>
      </c>
      <c r="K1307" s="6">
        <v>0.45833333333333331</v>
      </c>
      <c r="L1307" s="3">
        <v>5</v>
      </c>
      <c r="M1307" s="3" t="s">
        <v>2890</v>
      </c>
      <c r="N1307" s="3" t="s">
        <v>2058</v>
      </c>
      <c r="O1307" s="5"/>
      <c r="P1307" s="3" t="s">
        <v>22</v>
      </c>
      <c r="Q1307" s="7"/>
      <c r="R1307" s="7"/>
    </row>
    <row r="1308" spans="1:18" ht="63.75" x14ac:dyDescent="0.25">
      <c r="A1308" s="3" t="s">
        <v>18</v>
      </c>
      <c r="B1308" s="3">
        <v>2013</v>
      </c>
      <c r="C1308" s="3" t="s">
        <v>2058</v>
      </c>
      <c r="D1308" s="3" t="str">
        <f>"466 / 2013"</f>
        <v>466 / 2013</v>
      </c>
      <c r="E1308" s="4">
        <v>41523</v>
      </c>
      <c r="F1308" s="3" t="s">
        <v>2891</v>
      </c>
      <c r="G1308" s="5"/>
      <c r="H1308" s="3" t="s">
        <v>2892</v>
      </c>
      <c r="I1308" s="3">
        <v>26</v>
      </c>
      <c r="J1308" s="4">
        <v>41522</v>
      </c>
      <c r="K1308" s="6">
        <v>0.45833333333333331</v>
      </c>
      <c r="L1308" s="3">
        <v>6</v>
      </c>
      <c r="M1308" s="3" t="s">
        <v>2300</v>
      </c>
      <c r="N1308" s="3" t="s">
        <v>2300</v>
      </c>
      <c r="O1308" s="5"/>
      <c r="P1308" s="3" t="s">
        <v>22</v>
      </c>
      <c r="Q1308" s="7"/>
      <c r="R1308" s="7"/>
    </row>
    <row r="1309" spans="1:18" ht="102" x14ac:dyDescent="0.25">
      <c r="A1309" s="3" t="s">
        <v>18</v>
      </c>
      <c r="B1309" s="3">
        <v>2013</v>
      </c>
      <c r="C1309" s="3" t="s">
        <v>2058</v>
      </c>
      <c r="D1309" s="3" t="str">
        <f>"467 / 2013"</f>
        <v>467 / 2013</v>
      </c>
      <c r="E1309" s="4">
        <v>41537</v>
      </c>
      <c r="F1309" s="3" t="s">
        <v>2893</v>
      </c>
      <c r="G1309" s="5"/>
      <c r="H1309" s="3" t="s">
        <v>2894</v>
      </c>
      <c r="I1309" s="3">
        <v>26</v>
      </c>
      <c r="J1309" s="4">
        <v>41522</v>
      </c>
      <c r="K1309" s="6">
        <v>0.45833333333333331</v>
      </c>
      <c r="L1309" s="3">
        <v>7</v>
      </c>
      <c r="M1309" s="3" t="s">
        <v>2110</v>
      </c>
      <c r="N1309" s="3" t="s">
        <v>2110</v>
      </c>
      <c r="O1309" s="5"/>
      <c r="P1309" s="3" t="s">
        <v>22</v>
      </c>
      <c r="Q1309" s="7"/>
      <c r="R1309" s="7"/>
    </row>
    <row r="1310" spans="1:18" ht="63.75" x14ac:dyDescent="0.25">
      <c r="A1310" s="3" t="s">
        <v>18</v>
      </c>
      <c r="B1310" s="3">
        <v>2013</v>
      </c>
      <c r="C1310" s="3" t="s">
        <v>2058</v>
      </c>
      <c r="D1310" s="3" t="str">
        <f>"468 / 2013"</f>
        <v>468 / 2013</v>
      </c>
      <c r="E1310" s="4">
        <v>41527</v>
      </c>
      <c r="F1310" s="3" t="s">
        <v>2895</v>
      </c>
      <c r="G1310" s="5"/>
      <c r="H1310" s="3" t="s">
        <v>2896</v>
      </c>
      <c r="I1310" s="3">
        <v>26</v>
      </c>
      <c r="J1310" s="4">
        <v>41522</v>
      </c>
      <c r="K1310" s="6">
        <v>0.45833333333333331</v>
      </c>
      <c r="L1310" s="3">
        <v>8</v>
      </c>
      <c r="M1310" s="3" t="s">
        <v>2897</v>
      </c>
      <c r="N1310" s="3" t="s">
        <v>2897</v>
      </c>
      <c r="O1310" s="5"/>
      <c r="P1310" s="3" t="s">
        <v>22</v>
      </c>
      <c r="Q1310" s="7"/>
      <c r="R1310" s="7"/>
    </row>
    <row r="1311" spans="1:18" ht="63.75" x14ac:dyDescent="0.25">
      <c r="A1311" s="3" t="s">
        <v>18</v>
      </c>
      <c r="B1311" s="3">
        <v>2013</v>
      </c>
      <c r="C1311" s="3" t="s">
        <v>2058</v>
      </c>
      <c r="D1311" s="3" t="str">
        <f>"469 / 2013"</f>
        <v>469 / 2013</v>
      </c>
      <c r="E1311" s="4">
        <v>41541</v>
      </c>
      <c r="F1311" s="3" t="s">
        <v>2898</v>
      </c>
      <c r="G1311" s="5"/>
      <c r="H1311" s="3" t="s">
        <v>2899</v>
      </c>
      <c r="I1311" s="3">
        <v>26</v>
      </c>
      <c r="J1311" s="4">
        <v>41522</v>
      </c>
      <c r="K1311" s="6">
        <v>0.45833333333333331</v>
      </c>
      <c r="L1311" s="3">
        <v>9</v>
      </c>
      <c r="M1311" s="3" t="s">
        <v>2705</v>
      </c>
      <c r="N1311" s="3" t="s">
        <v>2705</v>
      </c>
      <c r="O1311" s="5"/>
      <c r="P1311" s="3" t="s">
        <v>22</v>
      </c>
      <c r="Q1311" s="7"/>
      <c r="R1311" s="7"/>
    </row>
    <row r="1312" spans="1:18" ht="51" x14ac:dyDescent="0.25">
      <c r="A1312" s="3" t="s">
        <v>18</v>
      </c>
      <c r="B1312" s="3">
        <v>2013</v>
      </c>
      <c r="C1312" s="3" t="s">
        <v>2058</v>
      </c>
      <c r="D1312" s="3" t="str">
        <f>"47 / 2013"</f>
        <v>47 / 2013</v>
      </c>
      <c r="E1312" s="4">
        <v>41318</v>
      </c>
      <c r="F1312" s="3" t="s">
        <v>2900</v>
      </c>
      <c r="G1312" s="5"/>
      <c r="H1312" s="3" t="s">
        <v>2901</v>
      </c>
      <c r="I1312" s="3">
        <v>4</v>
      </c>
      <c r="J1312" s="4">
        <v>41312</v>
      </c>
      <c r="K1312" s="6">
        <v>0.5</v>
      </c>
      <c r="L1312" s="3">
        <v>20</v>
      </c>
      <c r="M1312" s="3" t="s">
        <v>2880</v>
      </c>
      <c r="N1312" s="3" t="s">
        <v>2880</v>
      </c>
      <c r="O1312" s="5"/>
      <c r="P1312" s="3" t="s">
        <v>22</v>
      </c>
      <c r="Q1312" s="7"/>
      <c r="R1312" s="7"/>
    </row>
    <row r="1313" spans="1:18" ht="102" x14ac:dyDescent="0.25">
      <c r="A1313" s="3" t="s">
        <v>18</v>
      </c>
      <c r="B1313" s="3">
        <v>2013</v>
      </c>
      <c r="C1313" s="3" t="s">
        <v>2058</v>
      </c>
      <c r="D1313" s="3" t="str">
        <f>"470 / 2013"</f>
        <v>470 / 2013</v>
      </c>
      <c r="E1313" s="4">
        <v>41540</v>
      </c>
      <c r="F1313" s="3" t="s">
        <v>2902</v>
      </c>
      <c r="G1313" s="5"/>
      <c r="H1313" s="3" t="s">
        <v>2903</v>
      </c>
      <c r="I1313" s="3">
        <v>26</v>
      </c>
      <c r="J1313" s="4">
        <v>41522</v>
      </c>
      <c r="K1313" s="6">
        <v>0.45833333333333331</v>
      </c>
      <c r="L1313" s="3">
        <v>10</v>
      </c>
      <c r="M1313" s="3" t="s">
        <v>2064</v>
      </c>
      <c r="N1313" s="3" t="s">
        <v>2064</v>
      </c>
      <c r="O1313" s="5"/>
      <c r="P1313" s="3" t="s">
        <v>22</v>
      </c>
      <c r="Q1313" s="7"/>
      <c r="R1313" s="7"/>
    </row>
    <row r="1314" spans="1:18" ht="76.5" x14ac:dyDescent="0.25">
      <c r="A1314" s="3" t="s">
        <v>18</v>
      </c>
      <c r="B1314" s="3">
        <v>2013</v>
      </c>
      <c r="C1314" s="3" t="s">
        <v>2058</v>
      </c>
      <c r="D1314" s="3" t="str">
        <f>"471/ 2013"</f>
        <v>471/ 2013</v>
      </c>
      <c r="E1314" s="4">
        <v>41523</v>
      </c>
      <c r="F1314" s="3" t="s">
        <v>2904</v>
      </c>
      <c r="G1314" s="5"/>
      <c r="H1314" s="3" t="s">
        <v>2905</v>
      </c>
      <c r="I1314" s="3">
        <v>26</v>
      </c>
      <c r="J1314" s="4">
        <v>41522</v>
      </c>
      <c r="K1314" s="6">
        <v>0.45833333333333331</v>
      </c>
      <c r="L1314" s="3">
        <v>11</v>
      </c>
      <c r="M1314" s="3" t="s">
        <v>2442</v>
      </c>
      <c r="N1314" s="3" t="s">
        <v>2442</v>
      </c>
      <c r="O1314" s="5"/>
      <c r="P1314" s="3" t="s">
        <v>22</v>
      </c>
      <c r="Q1314" s="7"/>
      <c r="R1314" s="7"/>
    </row>
    <row r="1315" spans="1:18" ht="51" x14ac:dyDescent="0.25">
      <c r="A1315" s="3" t="s">
        <v>18</v>
      </c>
      <c r="B1315" s="3">
        <v>2013</v>
      </c>
      <c r="C1315" s="3" t="s">
        <v>2058</v>
      </c>
      <c r="D1315" s="3" t="str">
        <f>"472 / 2013"</f>
        <v>472 / 2013</v>
      </c>
      <c r="E1315" s="4">
        <v>41522</v>
      </c>
      <c r="F1315" s="3" t="s">
        <v>2906</v>
      </c>
      <c r="G1315" s="5"/>
      <c r="H1315" s="3" t="s">
        <v>2907</v>
      </c>
      <c r="I1315" s="3">
        <v>26</v>
      </c>
      <c r="J1315" s="4">
        <v>41522</v>
      </c>
      <c r="K1315" s="6">
        <v>0.45833333333333331</v>
      </c>
      <c r="L1315" s="3">
        <v>12</v>
      </c>
      <c r="M1315" s="3" t="s">
        <v>2061</v>
      </c>
      <c r="N1315" s="3" t="s">
        <v>2061</v>
      </c>
      <c r="O1315" s="5"/>
      <c r="P1315" s="3" t="s">
        <v>22</v>
      </c>
      <c r="Q1315" s="7"/>
      <c r="R1315" s="7"/>
    </row>
    <row r="1316" spans="1:18" ht="38.25" x14ac:dyDescent="0.25">
      <c r="A1316" s="3" t="s">
        <v>18</v>
      </c>
      <c r="B1316" s="3">
        <v>2013</v>
      </c>
      <c r="C1316" s="3" t="s">
        <v>2058</v>
      </c>
      <c r="D1316" s="3" t="str">
        <f>"473 / 2013"</f>
        <v>473 / 2013</v>
      </c>
      <c r="E1316" s="4">
        <v>41530</v>
      </c>
      <c r="F1316" s="3" t="s">
        <v>2908</v>
      </c>
      <c r="G1316" s="5"/>
      <c r="H1316" s="3" t="s">
        <v>2909</v>
      </c>
      <c r="I1316" s="3">
        <v>26</v>
      </c>
      <c r="J1316" s="4">
        <v>41522</v>
      </c>
      <c r="K1316" s="6">
        <v>0.45833333333333331</v>
      </c>
      <c r="L1316" s="3">
        <v>13</v>
      </c>
      <c r="M1316" s="3" t="s">
        <v>2110</v>
      </c>
      <c r="N1316" s="3" t="s">
        <v>2110</v>
      </c>
      <c r="O1316" s="5"/>
      <c r="P1316" s="3" t="s">
        <v>22</v>
      </c>
      <c r="Q1316" s="7"/>
      <c r="R1316" s="7"/>
    </row>
    <row r="1317" spans="1:18" ht="51" x14ac:dyDescent="0.25">
      <c r="A1317" s="3" t="s">
        <v>18</v>
      </c>
      <c r="B1317" s="3">
        <v>2013</v>
      </c>
      <c r="C1317" s="3" t="s">
        <v>2058</v>
      </c>
      <c r="D1317" s="3" t="str">
        <f>"474 / 2013"</f>
        <v>474 / 2013</v>
      </c>
      <c r="E1317" s="4">
        <v>41522</v>
      </c>
      <c r="F1317" s="3" t="s">
        <v>2910</v>
      </c>
      <c r="G1317" s="5"/>
      <c r="H1317" s="3" t="s">
        <v>2911</v>
      </c>
      <c r="I1317" s="3">
        <v>26</v>
      </c>
      <c r="J1317" s="4">
        <v>41522</v>
      </c>
      <c r="K1317" s="6">
        <v>0.45833333333333331</v>
      </c>
      <c r="L1317" s="3">
        <v>14</v>
      </c>
      <c r="M1317" s="3" t="s">
        <v>2912</v>
      </c>
      <c r="N1317" s="3" t="s">
        <v>2912</v>
      </c>
      <c r="O1317" s="5"/>
      <c r="P1317" s="3" t="s">
        <v>22</v>
      </c>
      <c r="Q1317" s="7"/>
      <c r="R1317" s="7"/>
    </row>
    <row r="1318" spans="1:18" ht="89.25" x14ac:dyDescent="0.25">
      <c r="A1318" s="3" t="s">
        <v>18</v>
      </c>
      <c r="B1318" s="3">
        <v>2013</v>
      </c>
      <c r="C1318" s="3" t="s">
        <v>2058</v>
      </c>
      <c r="D1318" s="3" t="str">
        <f>"475 / 2013"</f>
        <v>475 / 2013</v>
      </c>
      <c r="E1318" s="4">
        <v>41530</v>
      </c>
      <c r="F1318" s="3" t="s">
        <v>2913</v>
      </c>
      <c r="G1318" s="5"/>
      <c r="H1318" s="3" t="s">
        <v>2914</v>
      </c>
      <c r="I1318" s="3">
        <v>26</v>
      </c>
      <c r="J1318" s="4">
        <v>41522</v>
      </c>
      <c r="K1318" s="6">
        <v>0.45833333333333331</v>
      </c>
      <c r="L1318" s="3">
        <v>15</v>
      </c>
      <c r="M1318" s="3" t="s">
        <v>2665</v>
      </c>
      <c r="N1318" s="3" t="s">
        <v>2665</v>
      </c>
      <c r="O1318" s="5"/>
      <c r="P1318" s="3" t="s">
        <v>22</v>
      </c>
      <c r="Q1318" s="7"/>
      <c r="R1318" s="7"/>
    </row>
    <row r="1319" spans="1:18" ht="89.25" x14ac:dyDescent="0.25">
      <c r="A1319" s="3" t="s">
        <v>18</v>
      </c>
      <c r="B1319" s="3">
        <v>2013</v>
      </c>
      <c r="C1319" s="3" t="s">
        <v>2058</v>
      </c>
      <c r="D1319" s="3" t="str">
        <f>"476 / 2013"</f>
        <v>476 / 2013</v>
      </c>
      <c r="E1319" s="4">
        <v>41530</v>
      </c>
      <c r="F1319" s="3" t="s">
        <v>2915</v>
      </c>
      <c r="G1319" s="5"/>
      <c r="H1319" s="3" t="s">
        <v>2916</v>
      </c>
      <c r="I1319" s="3">
        <v>26</v>
      </c>
      <c r="J1319" s="4">
        <v>41522</v>
      </c>
      <c r="K1319" s="6">
        <v>0.45833333333333331</v>
      </c>
      <c r="L1319" s="3">
        <v>16</v>
      </c>
      <c r="M1319" s="3" t="s">
        <v>2665</v>
      </c>
      <c r="N1319" s="3" t="s">
        <v>2665</v>
      </c>
      <c r="O1319" s="5"/>
      <c r="P1319" s="3" t="s">
        <v>22</v>
      </c>
      <c r="Q1319" s="7"/>
      <c r="R1319" s="7"/>
    </row>
    <row r="1320" spans="1:18" ht="102" x14ac:dyDescent="0.25">
      <c r="A1320" s="3" t="s">
        <v>18</v>
      </c>
      <c r="B1320" s="3">
        <v>2013</v>
      </c>
      <c r="C1320" s="3" t="s">
        <v>2058</v>
      </c>
      <c r="D1320" s="3" t="str">
        <f>"477 / 2013"</f>
        <v>477 / 2013</v>
      </c>
      <c r="E1320" s="4">
        <v>41530</v>
      </c>
      <c r="F1320" s="3" t="s">
        <v>2917</v>
      </c>
      <c r="G1320" s="5"/>
      <c r="H1320" s="3" t="s">
        <v>2918</v>
      </c>
      <c r="I1320" s="3">
        <v>26</v>
      </c>
      <c r="J1320" s="4">
        <v>41522</v>
      </c>
      <c r="K1320" s="6">
        <v>0.45833333333333331</v>
      </c>
      <c r="L1320" s="3">
        <v>17</v>
      </c>
      <c r="M1320" s="3" t="s">
        <v>2665</v>
      </c>
      <c r="N1320" s="3" t="s">
        <v>2665</v>
      </c>
      <c r="O1320" s="5"/>
      <c r="P1320" s="3" t="s">
        <v>22</v>
      </c>
      <c r="Q1320" s="7"/>
      <c r="R1320" s="7"/>
    </row>
    <row r="1321" spans="1:18" ht="63.75" x14ac:dyDescent="0.25">
      <c r="A1321" s="3" t="s">
        <v>18</v>
      </c>
      <c r="B1321" s="3">
        <v>2013</v>
      </c>
      <c r="C1321" s="3" t="s">
        <v>2058</v>
      </c>
      <c r="D1321" s="3" t="str">
        <f>"478/ 2013"</f>
        <v>478/ 2013</v>
      </c>
      <c r="E1321" s="4">
        <v>41544</v>
      </c>
      <c r="F1321" s="3" t="s">
        <v>2919</v>
      </c>
      <c r="G1321" s="5"/>
      <c r="H1321" s="3" t="s">
        <v>2920</v>
      </c>
      <c r="I1321" s="3">
        <v>26</v>
      </c>
      <c r="J1321" s="4">
        <v>41522</v>
      </c>
      <c r="K1321" s="6">
        <v>0.45833333333333331</v>
      </c>
      <c r="L1321" s="3">
        <v>18</v>
      </c>
      <c r="M1321" s="3" t="s">
        <v>2110</v>
      </c>
      <c r="N1321" s="3" t="s">
        <v>2110</v>
      </c>
      <c r="O1321" s="5"/>
      <c r="P1321" s="3" t="s">
        <v>22</v>
      </c>
      <c r="Q1321" s="7"/>
      <c r="R1321" s="7"/>
    </row>
    <row r="1322" spans="1:18" ht="63.75" x14ac:dyDescent="0.25">
      <c r="A1322" s="3" t="s">
        <v>18</v>
      </c>
      <c r="B1322" s="3">
        <v>2013</v>
      </c>
      <c r="C1322" s="3" t="s">
        <v>2058</v>
      </c>
      <c r="D1322" s="3" t="str">
        <f>"479 / 2013"</f>
        <v>479 / 2013</v>
      </c>
      <c r="E1322" s="4">
        <v>41544</v>
      </c>
      <c r="F1322" s="3" t="s">
        <v>2921</v>
      </c>
      <c r="G1322" s="5"/>
      <c r="H1322" s="3" t="s">
        <v>2922</v>
      </c>
      <c r="I1322" s="3">
        <v>26</v>
      </c>
      <c r="J1322" s="4">
        <v>41522</v>
      </c>
      <c r="K1322" s="6">
        <v>0.45833333333333331</v>
      </c>
      <c r="L1322" s="3">
        <v>19</v>
      </c>
      <c r="M1322" s="3" t="s">
        <v>2110</v>
      </c>
      <c r="N1322" s="3" t="s">
        <v>2110</v>
      </c>
      <c r="O1322" s="5"/>
      <c r="P1322" s="3" t="s">
        <v>22</v>
      </c>
      <c r="Q1322" s="7"/>
      <c r="R1322" s="7"/>
    </row>
    <row r="1323" spans="1:18" ht="63.75" x14ac:dyDescent="0.25">
      <c r="A1323" s="3" t="s">
        <v>18</v>
      </c>
      <c r="B1323" s="3">
        <v>2013</v>
      </c>
      <c r="C1323" s="3" t="s">
        <v>2058</v>
      </c>
      <c r="D1323" s="3" t="str">
        <f>"48 / 2013"</f>
        <v>48 / 2013</v>
      </c>
      <c r="E1323" s="4">
        <v>41316</v>
      </c>
      <c r="F1323" s="3" t="s">
        <v>2923</v>
      </c>
      <c r="G1323" s="5"/>
      <c r="H1323" s="3" t="s">
        <v>2924</v>
      </c>
      <c r="I1323" s="3">
        <v>4</v>
      </c>
      <c r="J1323" s="4">
        <v>41312</v>
      </c>
      <c r="K1323" s="6">
        <v>0.5</v>
      </c>
      <c r="L1323" s="3">
        <v>21</v>
      </c>
      <c r="M1323" s="3" t="s">
        <v>2925</v>
      </c>
      <c r="N1323" s="3" t="s">
        <v>2925</v>
      </c>
      <c r="O1323" s="5"/>
      <c r="P1323" s="3" t="s">
        <v>22</v>
      </c>
      <c r="Q1323" s="7"/>
      <c r="R1323" s="7"/>
    </row>
    <row r="1324" spans="1:18" ht="102" x14ac:dyDescent="0.25">
      <c r="A1324" s="3" t="s">
        <v>18</v>
      </c>
      <c r="B1324" s="3">
        <v>2013</v>
      </c>
      <c r="C1324" s="3" t="s">
        <v>2058</v>
      </c>
      <c r="D1324" s="3" t="str">
        <f>"480 / 2013"</f>
        <v>480 / 2013</v>
      </c>
      <c r="E1324" s="4">
        <v>41528</v>
      </c>
      <c r="F1324" s="3" t="s">
        <v>2926</v>
      </c>
      <c r="G1324" s="5"/>
      <c r="H1324" s="3" t="s">
        <v>2927</v>
      </c>
      <c r="I1324" s="3">
        <v>27</v>
      </c>
      <c r="J1324" s="4">
        <v>41528</v>
      </c>
      <c r="K1324" s="6">
        <v>0.5</v>
      </c>
      <c r="L1324" s="3">
        <v>1</v>
      </c>
      <c r="M1324" s="3" t="s">
        <v>2110</v>
      </c>
      <c r="N1324" s="3" t="s">
        <v>2110</v>
      </c>
      <c r="O1324" s="5"/>
      <c r="P1324" s="3" t="s">
        <v>22</v>
      </c>
      <c r="Q1324" s="7"/>
      <c r="R1324" s="7"/>
    </row>
    <row r="1325" spans="1:18" ht="76.5" x14ac:dyDescent="0.25">
      <c r="A1325" s="3" t="s">
        <v>18</v>
      </c>
      <c r="B1325" s="3">
        <v>2013</v>
      </c>
      <c r="C1325" s="3" t="s">
        <v>2058</v>
      </c>
      <c r="D1325" s="3" t="str">
        <f>"481 / 2013"</f>
        <v>481 / 2013</v>
      </c>
      <c r="E1325" s="4">
        <v>41529</v>
      </c>
      <c r="F1325" s="3" t="s">
        <v>2928</v>
      </c>
      <c r="G1325" s="5"/>
      <c r="H1325" s="3" t="s">
        <v>2929</v>
      </c>
      <c r="I1325" s="3">
        <v>27</v>
      </c>
      <c r="J1325" s="4">
        <v>41528</v>
      </c>
      <c r="K1325" s="6">
        <v>0.5</v>
      </c>
      <c r="L1325" s="3">
        <v>2</v>
      </c>
      <c r="M1325" s="3" t="s">
        <v>2064</v>
      </c>
      <c r="N1325" s="3" t="s">
        <v>2064</v>
      </c>
      <c r="O1325" s="5"/>
      <c r="P1325" s="3" t="s">
        <v>22</v>
      </c>
      <c r="Q1325" s="7"/>
      <c r="R1325" s="7"/>
    </row>
    <row r="1326" spans="1:18" ht="63.75" x14ac:dyDescent="0.25">
      <c r="A1326" s="3" t="s">
        <v>18</v>
      </c>
      <c r="B1326" s="3">
        <v>2013</v>
      </c>
      <c r="C1326" s="3" t="s">
        <v>2058</v>
      </c>
      <c r="D1326" s="3" t="str">
        <f>"482 / 2013"</f>
        <v>482 / 2013</v>
      </c>
      <c r="E1326" s="4">
        <v>41535</v>
      </c>
      <c r="F1326" s="3" t="s">
        <v>2930</v>
      </c>
      <c r="G1326" s="5"/>
      <c r="H1326" s="3" t="s">
        <v>2931</v>
      </c>
      <c r="I1326" s="3">
        <v>28</v>
      </c>
      <c r="J1326" s="4">
        <v>41534</v>
      </c>
      <c r="K1326" s="6">
        <v>0.45833333333333331</v>
      </c>
      <c r="L1326" s="3">
        <v>1</v>
      </c>
      <c r="M1326" s="3" t="s">
        <v>2705</v>
      </c>
      <c r="N1326" s="3" t="s">
        <v>2705</v>
      </c>
      <c r="O1326" s="5"/>
      <c r="P1326" s="3" t="s">
        <v>22</v>
      </c>
      <c r="Q1326" s="7"/>
      <c r="R1326" s="7"/>
    </row>
    <row r="1327" spans="1:18" ht="51" x14ac:dyDescent="0.25">
      <c r="A1327" s="3" t="s">
        <v>18</v>
      </c>
      <c r="B1327" s="3">
        <v>2013</v>
      </c>
      <c r="C1327" s="3" t="s">
        <v>2058</v>
      </c>
      <c r="D1327" s="3" t="str">
        <f>"483 / 2013"</f>
        <v>483 / 2013</v>
      </c>
      <c r="E1327" s="4">
        <v>41536</v>
      </c>
      <c r="F1327" s="3" t="s">
        <v>2932</v>
      </c>
      <c r="G1327" s="5"/>
      <c r="H1327" s="3" t="s">
        <v>2884</v>
      </c>
      <c r="I1327" s="3">
        <v>28</v>
      </c>
      <c r="J1327" s="4">
        <v>41534</v>
      </c>
      <c r="K1327" s="6">
        <v>0.45833333333333331</v>
      </c>
      <c r="L1327" s="3">
        <v>2</v>
      </c>
      <c r="M1327" s="3" t="s">
        <v>2061</v>
      </c>
      <c r="N1327" s="3" t="s">
        <v>2061</v>
      </c>
      <c r="O1327" s="5"/>
      <c r="P1327" s="3" t="s">
        <v>22</v>
      </c>
      <c r="Q1327" s="7"/>
      <c r="R1327" s="7"/>
    </row>
    <row r="1328" spans="1:18" ht="76.5" x14ac:dyDescent="0.25">
      <c r="A1328" s="3" t="s">
        <v>18</v>
      </c>
      <c r="B1328" s="3">
        <v>2013</v>
      </c>
      <c r="C1328" s="3" t="s">
        <v>2058</v>
      </c>
      <c r="D1328" s="3" t="str">
        <f>"484 / 2013"</f>
        <v>484 / 2013</v>
      </c>
      <c r="E1328" s="4">
        <v>41540</v>
      </c>
      <c r="F1328" s="3" t="s">
        <v>2933</v>
      </c>
      <c r="G1328" s="5"/>
      <c r="H1328" s="3" t="s">
        <v>2836</v>
      </c>
      <c r="I1328" s="3">
        <v>28</v>
      </c>
      <c r="J1328" s="4">
        <v>41534</v>
      </c>
      <c r="K1328" s="6">
        <v>0.45833333333333331</v>
      </c>
      <c r="L1328" s="3">
        <v>3</v>
      </c>
      <c r="M1328" s="3" t="s">
        <v>2934</v>
      </c>
      <c r="N1328" s="3" t="s">
        <v>2934</v>
      </c>
      <c r="O1328" s="5"/>
      <c r="P1328" s="3" t="s">
        <v>22</v>
      </c>
      <c r="Q1328" s="7"/>
      <c r="R1328" s="7"/>
    </row>
    <row r="1329" spans="1:18" ht="114.75" x14ac:dyDescent="0.25">
      <c r="A1329" s="3" t="s">
        <v>18</v>
      </c>
      <c r="B1329" s="3">
        <v>2013</v>
      </c>
      <c r="C1329" s="3" t="s">
        <v>2058</v>
      </c>
      <c r="D1329" s="3" t="str">
        <f>"485 / 2013"</f>
        <v>485 / 2013</v>
      </c>
      <c r="E1329" s="4">
        <v>41540</v>
      </c>
      <c r="F1329" s="3" t="s">
        <v>2935</v>
      </c>
      <c r="G1329" s="5"/>
      <c r="H1329" s="3" t="s">
        <v>2936</v>
      </c>
      <c r="I1329" s="3">
        <v>28</v>
      </c>
      <c r="J1329" s="4">
        <v>41534</v>
      </c>
      <c r="K1329" s="6">
        <v>0.45833333333333331</v>
      </c>
      <c r="L1329" s="3">
        <v>4</v>
      </c>
      <c r="M1329" s="3" t="s">
        <v>2110</v>
      </c>
      <c r="N1329" s="3" t="s">
        <v>2110</v>
      </c>
      <c r="O1329" s="5"/>
      <c r="P1329" s="3" t="s">
        <v>22</v>
      </c>
      <c r="Q1329" s="7"/>
      <c r="R1329" s="7"/>
    </row>
    <row r="1330" spans="1:18" ht="102" x14ac:dyDescent="0.25">
      <c r="A1330" s="3" t="s">
        <v>18</v>
      </c>
      <c r="B1330" s="3">
        <v>2013</v>
      </c>
      <c r="C1330" s="3" t="s">
        <v>2058</v>
      </c>
      <c r="D1330" s="3" t="str">
        <f>"486 / 2013"</f>
        <v>486 / 2013</v>
      </c>
      <c r="E1330" s="4">
        <v>41540</v>
      </c>
      <c r="F1330" s="3" t="s">
        <v>2937</v>
      </c>
      <c r="G1330" s="5"/>
      <c r="H1330" s="3" t="s">
        <v>2938</v>
      </c>
      <c r="I1330" s="3">
        <v>28</v>
      </c>
      <c r="J1330" s="4">
        <v>41534</v>
      </c>
      <c r="K1330" s="6">
        <v>0.45833333333333331</v>
      </c>
      <c r="L1330" s="3">
        <v>5</v>
      </c>
      <c r="M1330" s="3" t="s">
        <v>2064</v>
      </c>
      <c r="N1330" s="3" t="s">
        <v>2064</v>
      </c>
      <c r="O1330" s="5"/>
      <c r="P1330" s="3" t="s">
        <v>22</v>
      </c>
      <c r="Q1330" s="7"/>
      <c r="R1330" s="7"/>
    </row>
    <row r="1331" spans="1:18" ht="76.5" x14ac:dyDescent="0.25">
      <c r="A1331" s="3" t="s">
        <v>18</v>
      </c>
      <c r="B1331" s="3">
        <v>2013</v>
      </c>
      <c r="C1331" s="3" t="s">
        <v>2058</v>
      </c>
      <c r="D1331" s="3" t="str">
        <f>"487 / 2013"</f>
        <v>487 / 2013</v>
      </c>
      <c r="E1331" s="4">
        <v>41536</v>
      </c>
      <c r="F1331" s="3" t="s">
        <v>2939</v>
      </c>
      <c r="G1331" s="5"/>
      <c r="H1331" s="3" t="s">
        <v>2940</v>
      </c>
      <c r="I1331" s="3">
        <v>28</v>
      </c>
      <c r="J1331" s="4">
        <v>41534</v>
      </c>
      <c r="K1331" s="6">
        <v>0.45833333333333331</v>
      </c>
      <c r="L1331" s="3">
        <v>6</v>
      </c>
      <c r="M1331" s="3" t="s">
        <v>2099</v>
      </c>
      <c r="N1331" s="3" t="s">
        <v>2099</v>
      </c>
      <c r="O1331" s="5"/>
      <c r="P1331" s="3" t="s">
        <v>22</v>
      </c>
      <c r="Q1331" s="7"/>
      <c r="R1331" s="7"/>
    </row>
    <row r="1332" spans="1:18" ht="51" x14ac:dyDescent="0.25">
      <c r="A1332" s="3" t="s">
        <v>18</v>
      </c>
      <c r="B1332" s="3">
        <v>2013</v>
      </c>
      <c r="C1332" s="3" t="s">
        <v>2058</v>
      </c>
      <c r="D1332" s="3" t="str">
        <f>"488 / 2013"</f>
        <v>488 / 2013</v>
      </c>
      <c r="E1332" s="4">
        <v>41535</v>
      </c>
      <c r="F1332" s="3" t="s">
        <v>2941</v>
      </c>
      <c r="G1332" s="5"/>
      <c r="H1332" s="3" t="s">
        <v>2942</v>
      </c>
      <c r="I1332" s="3">
        <v>28</v>
      </c>
      <c r="J1332" s="4">
        <v>41534</v>
      </c>
      <c r="K1332" s="6">
        <v>0.45833333333333331</v>
      </c>
      <c r="L1332" s="3">
        <v>7</v>
      </c>
      <c r="M1332" s="3" t="s">
        <v>2110</v>
      </c>
      <c r="N1332" s="3" t="s">
        <v>2110</v>
      </c>
      <c r="O1332" s="5"/>
      <c r="P1332" s="3" t="s">
        <v>22</v>
      </c>
      <c r="Q1332" s="7"/>
      <c r="R1332" s="7"/>
    </row>
    <row r="1333" spans="1:18" ht="51" x14ac:dyDescent="0.25">
      <c r="A1333" s="3" t="s">
        <v>18</v>
      </c>
      <c r="B1333" s="3">
        <v>2013</v>
      </c>
      <c r="C1333" s="3" t="s">
        <v>2058</v>
      </c>
      <c r="D1333" s="3" t="str">
        <f>"489 / 2013"</f>
        <v>489 / 2013</v>
      </c>
      <c r="E1333" s="4">
        <v>41535</v>
      </c>
      <c r="F1333" s="3" t="s">
        <v>2943</v>
      </c>
      <c r="G1333" s="5"/>
      <c r="H1333" s="3" t="s">
        <v>2944</v>
      </c>
      <c r="I1333" s="3">
        <v>28</v>
      </c>
      <c r="J1333" s="4">
        <v>41534</v>
      </c>
      <c r="K1333" s="6">
        <v>0.45833333333333331</v>
      </c>
      <c r="L1333" s="3">
        <v>8</v>
      </c>
      <c r="M1333" s="3" t="s">
        <v>2110</v>
      </c>
      <c r="N1333" s="3" t="s">
        <v>2110</v>
      </c>
      <c r="O1333" s="5"/>
      <c r="P1333" s="3" t="s">
        <v>22</v>
      </c>
      <c r="Q1333" s="7"/>
      <c r="R1333" s="7"/>
    </row>
    <row r="1334" spans="1:18" ht="51" x14ac:dyDescent="0.25">
      <c r="A1334" s="3" t="s">
        <v>18</v>
      </c>
      <c r="B1334" s="3">
        <v>2013</v>
      </c>
      <c r="C1334" s="3" t="s">
        <v>2058</v>
      </c>
      <c r="D1334" s="3" t="str">
        <f>"49 / 2013"</f>
        <v>49 / 2013</v>
      </c>
      <c r="E1334" s="4">
        <v>41316</v>
      </c>
      <c r="F1334" s="3" t="s">
        <v>2945</v>
      </c>
      <c r="G1334" s="5"/>
      <c r="H1334" s="3" t="s">
        <v>2946</v>
      </c>
      <c r="I1334" s="3">
        <v>4</v>
      </c>
      <c r="J1334" s="4">
        <v>41312</v>
      </c>
      <c r="K1334" s="6">
        <v>0.5</v>
      </c>
      <c r="L1334" s="3">
        <v>49</v>
      </c>
      <c r="M1334" s="3" t="s">
        <v>2061</v>
      </c>
      <c r="N1334" s="3" t="s">
        <v>2061</v>
      </c>
      <c r="O1334" s="5"/>
      <c r="P1334" s="3" t="s">
        <v>22</v>
      </c>
      <c r="Q1334" s="7"/>
      <c r="R1334" s="7"/>
    </row>
    <row r="1335" spans="1:18" ht="89.25" x14ac:dyDescent="0.25">
      <c r="A1335" s="3" t="s">
        <v>18</v>
      </c>
      <c r="B1335" s="3">
        <v>2013</v>
      </c>
      <c r="C1335" s="3" t="s">
        <v>2058</v>
      </c>
      <c r="D1335" s="3" t="str">
        <f>"490/ 2013"</f>
        <v>490/ 2013</v>
      </c>
      <c r="E1335" s="4">
        <v>41541</v>
      </c>
      <c r="F1335" s="3" t="s">
        <v>2947</v>
      </c>
      <c r="G1335" s="5"/>
      <c r="H1335" s="3" t="s">
        <v>2948</v>
      </c>
      <c r="I1335" s="3">
        <v>28</v>
      </c>
      <c r="J1335" s="4">
        <v>41534</v>
      </c>
      <c r="K1335" s="6">
        <v>0.45833333333333331</v>
      </c>
      <c r="L1335" s="3">
        <v>9</v>
      </c>
      <c r="M1335" s="3" t="s">
        <v>2110</v>
      </c>
      <c r="N1335" s="3" t="s">
        <v>2110</v>
      </c>
      <c r="O1335" s="5"/>
      <c r="P1335" s="3" t="s">
        <v>22</v>
      </c>
      <c r="Q1335" s="7"/>
      <c r="R1335" s="7"/>
    </row>
    <row r="1336" spans="1:18" ht="51" x14ac:dyDescent="0.25">
      <c r="A1336" s="3" t="s">
        <v>18</v>
      </c>
      <c r="B1336" s="3">
        <v>2013</v>
      </c>
      <c r="C1336" s="3" t="s">
        <v>2058</v>
      </c>
      <c r="D1336" s="3" t="str">
        <f>"491 / 2013"</f>
        <v>491 / 2013</v>
      </c>
      <c r="E1336" s="4">
        <v>41535</v>
      </c>
      <c r="F1336" s="3" t="s">
        <v>2949</v>
      </c>
      <c r="G1336" s="5"/>
      <c r="H1336" s="3" t="s">
        <v>2950</v>
      </c>
      <c r="I1336" s="3">
        <v>28</v>
      </c>
      <c r="J1336" s="4">
        <v>41534</v>
      </c>
      <c r="K1336" s="6">
        <v>0.45833333333333331</v>
      </c>
      <c r="L1336" s="3">
        <v>10</v>
      </c>
      <c r="M1336" s="3" t="s">
        <v>2507</v>
      </c>
      <c r="N1336" s="3" t="s">
        <v>2507</v>
      </c>
      <c r="O1336" s="5"/>
      <c r="P1336" s="3" t="s">
        <v>22</v>
      </c>
      <c r="Q1336" s="7"/>
      <c r="R1336" s="7"/>
    </row>
    <row r="1337" spans="1:18" ht="51" x14ac:dyDescent="0.25">
      <c r="A1337" s="3" t="s">
        <v>18</v>
      </c>
      <c r="B1337" s="3">
        <v>2013</v>
      </c>
      <c r="C1337" s="3" t="s">
        <v>2058</v>
      </c>
      <c r="D1337" s="3" t="str">
        <f>"492 / 2013"</f>
        <v>492 / 2013</v>
      </c>
      <c r="E1337" s="4">
        <v>41535</v>
      </c>
      <c r="F1337" s="3" t="s">
        <v>2951</v>
      </c>
      <c r="G1337" s="5"/>
      <c r="H1337" s="3" t="s">
        <v>2952</v>
      </c>
      <c r="I1337" s="3">
        <v>28</v>
      </c>
      <c r="J1337" s="4">
        <v>41534</v>
      </c>
      <c r="K1337" s="6">
        <v>0.45833333333333331</v>
      </c>
      <c r="L1337" s="3">
        <v>11</v>
      </c>
      <c r="M1337" s="3" t="s">
        <v>2507</v>
      </c>
      <c r="N1337" s="3" t="s">
        <v>2507</v>
      </c>
      <c r="O1337" s="5"/>
      <c r="P1337" s="3" t="s">
        <v>22</v>
      </c>
      <c r="Q1337" s="7"/>
      <c r="R1337" s="7"/>
    </row>
    <row r="1338" spans="1:18" ht="127.5" x14ac:dyDescent="0.25">
      <c r="A1338" s="3" t="s">
        <v>18</v>
      </c>
      <c r="B1338" s="3">
        <v>2013</v>
      </c>
      <c r="C1338" s="3" t="s">
        <v>2058</v>
      </c>
      <c r="D1338" s="3" t="str">
        <f>"493 / 2013"</f>
        <v>493 / 2013</v>
      </c>
      <c r="E1338" s="4">
        <v>41540</v>
      </c>
      <c r="F1338" s="3" t="s">
        <v>2953</v>
      </c>
      <c r="G1338" s="5"/>
      <c r="H1338" s="3" t="s">
        <v>2954</v>
      </c>
      <c r="I1338" s="3">
        <v>28</v>
      </c>
      <c r="J1338" s="4">
        <v>41534</v>
      </c>
      <c r="K1338" s="6">
        <v>0.45833333333333331</v>
      </c>
      <c r="L1338" s="3">
        <v>12</v>
      </c>
      <c r="M1338" s="3" t="s">
        <v>2955</v>
      </c>
      <c r="N1338" s="3" t="s">
        <v>2955</v>
      </c>
      <c r="O1338" s="5"/>
      <c r="P1338" s="3" t="s">
        <v>22</v>
      </c>
      <c r="Q1338" s="7"/>
      <c r="R1338" s="7"/>
    </row>
    <row r="1339" spans="1:18" ht="76.5" x14ac:dyDescent="0.25">
      <c r="A1339" s="3" t="s">
        <v>18</v>
      </c>
      <c r="B1339" s="3">
        <v>2013</v>
      </c>
      <c r="C1339" s="3" t="s">
        <v>2058</v>
      </c>
      <c r="D1339" s="3" t="str">
        <f>"494 / 2013"</f>
        <v>494 / 2013</v>
      </c>
      <c r="E1339" s="4">
        <v>41537</v>
      </c>
      <c r="F1339" s="3" t="s">
        <v>2956</v>
      </c>
      <c r="G1339" s="5"/>
      <c r="H1339" s="3" t="s">
        <v>2957</v>
      </c>
      <c r="I1339" s="3">
        <v>28</v>
      </c>
      <c r="J1339" s="4">
        <v>41534</v>
      </c>
      <c r="K1339" s="6">
        <v>0.45833333333333331</v>
      </c>
      <c r="L1339" s="3">
        <v>13</v>
      </c>
      <c r="M1339" s="3" t="s">
        <v>2958</v>
      </c>
      <c r="N1339" s="3" t="s">
        <v>2958</v>
      </c>
      <c r="O1339" s="5"/>
      <c r="P1339" s="3" t="s">
        <v>22</v>
      </c>
      <c r="Q1339" s="7"/>
      <c r="R1339" s="7"/>
    </row>
    <row r="1340" spans="1:18" ht="38.25" x14ac:dyDescent="0.25">
      <c r="A1340" s="3" t="s">
        <v>18</v>
      </c>
      <c r="B1340" s="3">
        <v>2013</v>
      </c>
      <c r="C1340" s="3" t="s">
        <v>2058</v>
      </c>
      <c r="D1340" s="3" t="str">
        <f>"495 / 2013"</f>
        <v>495 / 2013</v>
      </c>
      <c r="E1340" s="4">
        <v>41535</v>
      </c>
      <c r="F1340" s="3" t="s">
        <v>2959</v>
      </c>
      <c r="G1340" s="5"/>
      <c r="H1340" s="3" t="s">
        <v>2960</v>
      </c>
      <c r="I1340" s="3">
        <v>28</v>
      </c>
      <c r="J1340" s="4">
        <v>41534</v>
      </c>
      <c r="K1340" s="6">
        <v>0.45833333333333331</v>
      </c>
      <c r="L1340" s="5"/>
      <c r="M1340" s="3" t="s">
        <v>2110</v>
      </c>
      <c r="N1340" s="3" t="s">
        <v>2110</v>
      </c>
      <c r="O1340" s="5"/>
      <c r="P1340" s="3" t="s">
        <v>74</v>
      </c>
      <c r="Q1340" s="7"/>
      <c r="R1340" s="7"/>
    </row>
    <row r="1341" spans="1:18" ht="63.75" x14ac:dyDescent="0.25">
      <c r="A1341" s="3" t="s">
        <v>18</v>
      </c>
      <c r="B1341" s="3">
        <v>2013</v>
      </c>
      <c r="C1341" s="3" t="s">
        <v>2058</v>
      </c>
      <c r="D1341" s="3" t="str">
        <f>"496 / 2013"</f>
        <v>496 / 2013</v>
      </c>
      <c r="E1341" s="4">
        <v>41537</v>
      </c>
      <c r="F1341" s="3" t="s">
        <v>2961</v>
      </c>
      <c r="G1341" s="5"/>
      <c r="H1341" s="3" t="s">
        <v>2962</v>
      </c>
      <c r="I1341" s="3">
        <v>28</v>
      </c>
      <c r="J1341" s="4">
        <v>41534</v>
      </c>
      <c r="K1341" s="6">
        <v>0.45833333333333331</v>
      </c>
      <c r="L1341" s="5"/>
      <c r="M1341" s="3" t="s">
        <v>2268</v>
      </c>
      <c r="N1341" s="3" t="s">
        <v>2268</v>
      </c>
      <c r="O1341" s="5"/>
      <c r="P1341" s="3" t="s">
        <v>74</v>
      </c>
      <c r="Q1341" s="7"/>
      <c r="R1341" s="7"/>
    </row>
    <row r="1342" spans="1:18" ht="63.75" x14ac:dyDescent="0.25">
      <c r="A1342" s="3" t="s">
        <v>18</v>
      </c>
      <c r="B1342" s="3">
        <v>2013</v>
      </c>
      <c r="C1342" s="3" t="s">
        <v>2058</v>
      </c>
      <c r="D1342" s="3" t="str">
        <f>"497 / 2013"</f>
        <v>497 / 2013</v>
      </c>
      <c r="E1342" s="4">
        <v>41537</v>
      </c>
      <c r="F1342" s="3" t="s">
        <v>2963</v>
      </c>
      <c r="G1342" s="5"/>
      <c r="H1342" s="3" t="s">
        <v>2964</v>
      </c>
      <c r="I1342" s="3">
        <v>28</v>
      </c>
      <c r="J1342" s="4">
        <v>41534</v>
      </c>
      <c r="K1342" s="6">
        <v>0.45833333333333331</v>
      </c>
      <c r="L1342" s="5"/>
      <c r="M1342" s="3" t="s">
        <v>2965</v>
      </c>
      <c r="N1342" s="3" t="s">
        <v>2965</v>
      </c>
      <c r="O1342" s="5"/>
      <c r="P1342" s="3" t="s">
        <v>74</v>
      </c>
      <c r="Q1342" s="7"/>
      <c r="R1342" s="7"/>
    </row>
    <row r="1343" spans="1:18" ht="89.25" x14ac:dyDescent="0.25">
      <c r="A1343" s="3" t="s">
        <v>18</v>
      </c>
      <c r="B1343" s="3">
        <v>2013</v>
      </c>
      <c r="C1343" s="3" t="s">
        <v>2058</v>
      </c>
      <c r="D1343" s="3" t="str">
        <f>"498 / 2013"</f>
        <v>498 / 2013</v>
      </c>
      <c r="E1343" s="4">
        <v>41535</v>
      </c>
      <c r="F1343" s="3" t="s">
        <v>2966</v>
      </c>
      <c r="G1343" s="5"/>
      <c r="H1343" s="3" t="s">
        <v>2967</v>
      </c>
      <c r="I1343" s="3">
        <v>28</v>
      </c>
      <c r="J1343" s="4">
        <v>41534</v>
      </c>
      <c r="K1343" s="6">
        <v>0.45833333333333331</v>
      </c>
      <c r="L1343" s="5"/>
      <c r="M1343" s="3" t="s">
        <v>2099</v>
      </c>
      <c r="N1343" s="3" t="s">
        <v>2099</v>
      </c>
      <c r="O1343" s="5"/>
      <c r="P1343" s="3" t="s">
        <v>74</v>
      </c>
      <c r="Q1343" s="7"/>
      <c r="R1343" s="7"/>
    </row>
    <row r="1344" spans="1:18" ht="89.25" x14ac:dyDescent="0.25">
      <c r="A1344" s="3" t="s">
        <v>18</v>
      </c>
      <c r="B1344" s="3">
        <v>2013</v>
      </c>
      <c r="C1344" s="3" t="s">
        <v>2058</v>
      </c>
      <c r="D1344" s="3" t="str">
        <f>"499 / 2013"</f>
        <v>499 / 2013</v>
      </c>
      <c r="E1344" s="4">
        <v>41535</v>
      </c>
      <c r="F1344" s="3" t="s">
        <v>2968</v>
      </c>
      <c r="G1344" s="5"/>
      <c r="H1344" s="3" t="s">
        <v>2969</v>
      </c>
      <c r="I1344" s="3">
        <v>28</v>
      </c>
      <c r="J1344" s="4">
        <v>41534</v>
      </c>
      <c r="K1344" s="6">
        <v>0.45833333333333331</v>
      </c>
      <c r="L1344" s="5"/>
      <c r="M1344" s="3" t="s">
        <v>2099</v>
      </c>
      <c r="N1344" s="3" t="s">
        <v>2099</v>
      </c>
      <c r="O1344" s="5"/>
      <c r="P1344" s="3" t="s">
        <v>74</v>
      </c>
      <c r="Q1344" s="7"/>
      <c r="R1344" s="7"/>
    </row>
    <row r="1345" spans="1:18" ht="76.5" x14ac:dyDescent="0.25">
      <c r="A1345" s="3" t="s">
        <v>18</v>
      </c>
      <c r="B1345" s="3">
        <v>2013</v>
      </c>
      <c r="C1345" s="3" t="s">
        <v>2058</v>
      </c>
      <c r="D1345" s="3" t="str">
        <f>"50 / 2013"</f>
        <v>50 / 2013</v>
      </c>
      <c r="E1345" s="4">
        <v>41319</v>
      </c>
      <c r="F1345" s="3" t="s">
        <v>2970</v>
      </c>
      <c r="G1345" s="5"/>
      <c r="H1345" s="3" t="s">
        <v>2971</v>
      </c>
      <c r="I1345" s="3">
        <v>4</v>
      </c>
      <c r="J1345" s="4">
        <v>41312</v>
      </c>
      <c r="K1345" s="6">
        <v>0.5</v>
      </c>
      <c r="L1345" s="3">
        <v>23</v>
      </c>
      <c r="M1345" s="3" t="s">
        <v>2972</v>
      </c>
      <c r="N1345" s="3" t="s">
        <v>2972</v>
      </c>
      <c r="O1345" s="5"/>
      <c r="P1345" s="3" t="s">
        <v>22</v>
      </c>
      <c r="Q1345" s="7"/>
      <c r="R1345" s="7"/>
    </row>
    <row r="1346" spans="1:18" ht="114.75" x14ac:dyDescent="0.25">
      <c r="A1346" s="3" t="s">
        <v>18</v>
      </c>
      <c r="B1346" s="3">
        <v>2013</v>
      </c>
      <c r="C1346" s="3" t="s">
        <v>2058</v>
      </c>
      <c r="D1346" s="3" t="str">
        <f>"500 / 2013"</f>
        <v>500 / 2013</v>
      </c>
      <c r="E1346" s="4">
        <v>41536</v>
      </c>
      <c r="F1346" s="3" t="s">
        <v>2973</v>
      </c>
      <c r="G1346" s="5"/>
      <c r="H1346" s="3" t="s">
        <v>2974</v>
      </c>
      <c r="I1346" s="3">
        <v>28</v>
      </c>
      <c r="J1346" s="4">
        <v>41534</v>
      </c>
      <c r="K1346" s="6">
        <v>0.45833333333333331</v>
      </c>
      <c r="L1346" s="5"/>
      <c r="M1346" s="3" t="s">
        <v>2975</v>
      </c>
      <c r="N1346" s="3" t="s">
        <v>2975</v>
      </c>
      <c r="O1346" s="5"/>
      <c r="P1346" s="3" t="s">
        <v>74</v>
      </c>
      <c r="Q1346" s="7"/>
      <c r="R1346" s="7"/>
    </row>
    <row r="1347" spans="1:18" ht="51" x14ac:dyDescent="0.25">
      <c r="A1347" s="3" t="s">
        <v>18</v>
      </c>
      <c r="B1347" s="3">
        <v>2013</v>
      </c>
      <c r="C1347" s="3" t="s">
        <v>2058</v>
      </c>
      <c r="D1347" s="3" t="str">
        <f>"501 / 2013"</f>
        <v>501 / 2013</v>
      </c>
      <c r="E1347" s="4">
        <v>41541</v>
      </c>
      <c r="F1347" s="3" t="s">
        <v>2976</v>
      </c>
      <c r="G1347" s="5"/>
      <c r="H1347" s="3" t="s">
        <v>2977</v>
      </c>
      <c r="I1347" s="3">
        <v>28</v>
      </c>
      <c r="J1347" s="4">
        <v>41534</v>
      </c>
      <c r="K1347" s="6">
        <v>0.45833333333333331</v>
      </c>
      <c r="L1347" s="5"/>
      <c r="M1347" s="3" t="s">
        <v>2099</v>
      </c>
      <c r="N1347" s="3" t="s">
        <v>2099</v>
      </c>
      <c r="O1347" s="5"/>
      <c r="P1347" s="3" t="s">
        <v>74</v>
      </c>
      <c r="Q1347" s="7"/>
      <c r="R1347" s="7"/>
    </row>
    <row r="1348" spans="1:18" ht="76.5" x14ac:dyDescent="0.25">
      <c r="A1348" s="3" t="s">
        <v>18</v>
      </c>
      <c r="B1348" s="3">
        <v>2013</v>
      </c>
      <c r="C1348" s="3" t="s">
        <v>2058</v>
      </c>
      <c r="D1348" s="3" t="str">
        <f>"502 / 2013"</f>
        <v>502 / 2013</v>
      </c>
      <c r="E1348" s="4">
        <v>41555</v>
      </c>
      <c r="F1348" s="3" t="s">
        <v>2978</v>
      </c>
      <c r="G1348" s="5"/>
      <c r="H1348" s="3" t="s">
        <v>2979</v>
      </c>
      <c r="I1348" s="3">
        <v>29</v>
      </c>
      <c r="J1348" s="4">
        <v>41547</v>
      </c>
      <c r="K1348" s="6">
        <v>0.45833333333333331</v>
      </c>
      <c r="L1348" s="3">
        <v>1</v>
      </c>
      <c r="M1348" s="3" t="s">
        <v>2099</v>
      </c>
      <c r="N1348" s="3" t="s">
        <v>2099</v>
      </c>
      <c r="O1348" s="5"/>
      <c r="P1348" s="3" t="s">
        <v>22</v>
      </c>
      <c r="Q1348" s="7"/>
      <c r="R1348" s="7"/>
    </row>
    <row r="1349" spans="1:18" ht="76.5" x14ac:dyDescent="0.25">
      <c r="A1349" s="3" t="s">
        <v>18</v>
      </c>
      <c r="B1349" s="3">
        <v>2013</v>
      </c>
      <c r="C1349" s="3" t="s">
        <v>2058</v>
      </c>
      <c r="D1349" s="3" t="str">
        <f>"503 / 2013"</f>
        <v>503 / 2013</v>
      </c>
      <c r="E1349" s="4">
        <v>41555</v>
      </c>
      <c r="F1349" s="3" t="s">
        <v>2980</v>
      </c>
      <c r="G1349" s="5"/>
      <c r="H1349" s="3" t="s">
        <v>2981</v>
      </c>
      <c r="I1349" s="3">
        <v>29</v>
      </c>
      <c r="J1349" s="4">
        <v>41547</v>
      </c>
      <c r="K1349" s="6">
        <v>0.45833333333333331</v>
      </c>
      <c r="L1349" s="3">
        <v>2</v>
      </c>
      <c r="M1349" s="3" t="s">
        <v>2110</v>
      </c>
      <c r="N1349" s="3" t="s">
        <v>2110</v>
      </c>
      <c r="O1349" s="5"/>
      <c r="P1349" s="3" t="s">
        <v>22</v>
      </c>
      <c r="Q1349" s="7"/>
      <c r="R1349" s="7"/>
    </row>
    <row r="1350" spans="1:18" ht="63.75" x14ac:dyDescent="0.25">
      <c r="A1350" s="3" t="s">
        <v>18</v>
      </c>
      <c r="B1350" s="3">
        <v>2013</v>
      </c>
      <c r="C1350" s="3" t="s">
        <v>2058</v>
      </c>
      <c r="D1350" s="3" t="str">
        <f>"504 / 2013"</f>
        <v>504 / 2013</v>
      </c>
      <c r="E1350" s="4">
        <v>41554</v>
      </c>
      <c r="F1350" s="3" t="s">
        <v>2982</v>
      </c>
      <c r="G1350" s="5"/>
      <c r="H1350" s="3" t="s">
        <v>2983</v>
      </c>
      <c r="I1350" s="3">
        <v>29</v>
      </c>
      <c r="J1350" s="4">
        <v>41547</v>
      </c>
      <c r="K1350" s="6">
        <v>0.45833333333333331</v>
      </c>
      <c r="L1350" s="3">
        <v>3</v>
      </c>
      <c r="M1350" s="3" t="s">
        <v>2061</v>
      </c>
      <c r="N1350" s="3" t="s">
        <v>2061</v>
      </c>
      <c r="O1350" s="5"/>
      <c r="P1350" s="3" t="s">
        <v>22</v>
      </c>
      <c r="Q1350" s="7"/>
      <c r="R1350" s="7"/>
    </row>
    <row r="1351" spans="1:18" ht="51" x14ac:dyDescent="0.25">
      <c r="A1351" s="3" t="s">
        <v>18</v>
      </c>
      <c r="B1351" s="3">
        <v>2013</v>
      </c>
      <c r="C1351" s="3" t="s">
        <v>2058</v>
      </c>
      <c r="D1351" s="3" t="str">
        <f>"505 / 2013"</f>
        <v>505 / 2013</v>
      </c>
      <c r="E1351" s="4">
        <v>41547</v>
      </c>
      <c r="F1351" s="3" t="s">
        <v>2984</v>
      </c>
      <c r="G1351" s="5"/>
      <c r="H1351" s="3" t="s">
        <v>2985</v>
      </c>
      <c r="I1351" s="3">
        <v>29</v>
      </c>
      <c r="J1351" s="4">
        <v>41547</v>
      </c>
      <c r="K1351" s="6">
        <v>0.45833333333333331</v>
      </c>
      <c r="L1351" s="3">
        <v>4</v>
      </c>
      <c r="M1351" s="3" t="s">
        <v>2061</v>
      </c>
      <c r="N1351" s="3" t="s">
        <v>2061</v>
      </c>
      <c r="O1351" s="5"/>
      <c r="P1351" s="3" t="s">
        <v>22</v>
      </c>
      <c r="Q1351" s="7"/>
      <c r="R1351" s="7"/>
    </row>
    <row r="1352" spans="1:18" ht="51" x14ac:dyDescent="0.25">
      <c r="A1352" s="3" t="s">
        <v>18</v>
      </c>
      <c r="B1352" s="3">
        <v>2013</v>
      </c>
      <c r="C1352" s="3" t="s">
        <v>2058</v>
      </c>
      <c r="D1352" s="3" t="str">
        <f>"506 / 2013"</f>
        <v>506 / 2013</v>
      </c>
      <c r="E1352" s="4">
        <v>41547</v>
      </c>
      <c r="F1352" s="3" t="s">
        <v>2986</v>
      </c>
      <c r="G1352" s="5"/>
      <c r="H1352" s="3" t="s">
        <v>2987</v>
      </c>
      <c r="I1352" s="3">
        <v>29</v>
      </c>
      <c r="J1352" s="4">
        <v>41547</v>
      </c>
      <c r="K1352" s="6">
        <v>0.45833333333333331</v>
      </c>
      <c r="L1352" s="3">
        <v>5</v>
      </c>
      <c r="M1352" s="3" t="s">
        <v>2061</v>
      </c>
      <c r="N1352" s="3" t="s">
        <v>2061</v>
      </c>
      <c r="O1352" s="5"/>
      <c r="P1352" s="3" t="s">
        <v>22</v>
      </c>
      <c r="Q1352" s="7"/>
      <c r="R1352" s="7"/>
    </row>
    <row r="1353" spans="1:18" ht="63.75" x14ac:dyDescent="0.25">
      <c r="A1353" s="3" t="s">
        <v>18</v>
      </c>
      <c r="B1353" s="3">
        <v>2013</v>
      </c>
      <c r="C1353" s="3" t="s">
        <v>2058</v>
      </c>
      <c r="D1353" s="3" t="str">
        <f>"507 / 2013"</f>
        <v>507 / 2013</v>
      </c>
      <c r="E1353" s="4">
        <v>41550</v>
      </c>
      <c r="F1353" s="3" t="s">
        <v>2988</v>
      </c>
      <c r="G1353" s="5"/>
      <c r="H1353" s="3" t="s">
        <v>2989</v>
      </c>
      <c r="I1353" s="3">
        <v>29</v>
      </c>
      <c r="J1353" s="4">
        <v>41547</v>
      </c>
      <c r="K1353" s="6">
        <v>0.45833333333333331</v>
      </c>
      <c r="L1353" s="3">
        <v>6</v>
      </c>
      <c r="M1353" s="3" t="s">
        <v>2990</v>
      </c>
      <c r="N1353" s="3" t="s">
        <v>2990</v>
      </c>
      <c r="O1353" s="5"/>
      <c r="P1353" s="3" t="s">
        <v>22</v>
      </c>
      <c r="Q1353" s="7"/>
      <c r="R1353" s="7"/>
    </row>
    <row r="1354" spans="1:18" ht="102" x14ac:dyDescent="0.25">
      <c r="A1354" s="3" t="s">
        <v>18</v>
      </c>
      <c r="B1354" s="3">
        <v>2013</v>
      </c>
      <c r="C1354" s="3" t="s">
        <v>2058</v>
      </c>
      <c r="D1354" s="3" t="str">
        <f>"508 / 2013"</f>
        <v>508 / 2013</v>
      </c>
      <c r="E1354" s="4">
        <v>41550</v>
      </c>
      <c r="F1354" s="3" t="s">
        <v>2991</v>
      </c>
      <c r="G1354" s="5"/>
      <c r="H1354" s="3" t="s">
        <v>2992</v>
      </c>
      <c r="I1354" s="3">
        <v>29</v>
      </c>
      <c r="J1354" s="4">
        <v>41547</v>
      </c>
      <c r="K1354" s="6">
        <v>0.45833333333333331</v>
      </c>
      <c r="L1354" s="3">
        <v>7</v>
      </c>
      <c r="M1354" s="3" t="s">
        <v>2595</v>
      </c>
      <c r="N1354" s="3" t="s">
        <v>2595</v>
      </c>
      <c r="O1354" s="5"/>
      <c r="P1354" s="3" t="s">
        <v>22</v>
      </c>
      <c r="Q1354" s="7"/>
      <c r="R1354" s="7"/>
    </row>
    <row r="1355" spans="1:18" ht="89.25" x14ac:dyDescent="0.25">
      <c r="A1355" s="3" t="s">
        <v>18</v>
      </c>
      <c r="B1355" s="3">
        <v>2013</v>
      </c>
      <c r="C1355" s="3" t="s">
        <v>2058</v>
      </c>
      <c r="D1355" s="3" t="str">
        <f>"509 / 2013"</f>
        <v>509 / 2013</v>
      </c>
      <c r="E1355" s="4">
        <v>41568</v>
      </c>
      <c r="F1355" s="3" t="s">
        <v>2993</v>
      </c>
      <c r="G1355" s="5"/>
      <c r="H1355" s="3" t="s">
        <v>2994</v>
      </c>
      <c r="I1355" s="3">
        <v>29</v>
      </c>
      <c r="J1355" s="4">
        <v>41547</v>
      </c>
      <c r="K1355" s="6">
        <v>0.45833333333333331</v>
      </c>
      <c r="L1355" s="3">
        <v>8</v>
      </c>
      <c r="M1355" s="3" t="s">
        <v>2995</v>
      </c>
      <c r="N1355" s="3" t="s">
        <v>2995</v>
      </c>
      <c r="O1355" s="5"/>
      <c r="P1355" s="3" t="s">
        <v>22</v>
      </c>
      <c r="Q1355" s="7"/>
      <c r="R1355" s="7"/>
    </row>
    <row r="1356" spans="1:18" ht="127.5" x14ac:dyDescent="0.25">
      <c r="A1356" s="3" t="s">
        <v>18</v>
      </c>
      <c r="B1356" s="3">
        <v>2013</v>
      </c>
      <c r="C1356" s="3" t="s">
        <v>2058</v>
      </c>
      <c r="D1356" s="3" t="str">
        <f>"510 / 2013"</f>
        <v>510 / 2013</v>
      </c>
      <c r="E1356" s="4">
        <v>41554</v>
      </c>
      <c r="F1356" s="3" t="s">
        <v>2996</v>
      </c>
      <c r="G1356" s="5"/>
      <c r="H1356" s="3" t="s">
        <v>2997</v>
      </c>
      <c r="I1356" s="3">
        <v>29</v>
      </c>
      <c r="J1356" s="4">
        <v>41547</v>
      </c>
      <c r="K1356" s="6">
        <v>0.45833333333333331</v>
      </c>
      <c r="L1356" s="3">
        <v>9</v>
      </c>
      <c r="M1356" s="3" t="s">
        <v>35</v>
      </c>
      <c r="N1356" s="3" t="s">
        <v>35</v>
      </c>
      <c r="O1356" s="5"/>
      <c r="P1356" s="3" t="s">
        <v>22</v>
      </c>
      <c r="Q1356" s="7"/>
      <c r="R1356" s="7"/>
    </row>
    <row r="1357" spans="1:18" ht="89.25" x14ac:dyDescent="0.25">
      <c r="A1357" s="3" t="s">
        <v>18</v>
      </c>
      <c r="B1357" s="3">
        <v>2013</v>
      </c>
      <c r="C1357" s="3" t="s">
        <v>2058</v>
      </c>
      <c r="D1357" s="3" t="str">
        <f>"511 / 2013"</f>
        <v>511 / 2013</v>
      </c>
      <c r="E1357" s="4">
        <v>41550</v>
      </c>
      <c r="F1357" s="3" t="s">
        <v>2998</v>
      </c>
      <c r="G1357" s="5"/>
      <c r="H1357" s="3" t="s">
        <v>2999</v>
      </c>
      <c r="I1357" s="3">
        <v>29</v>
      </c>
      <c r="J1357" s="4">
        <v>41547</v>
      </c>
      <c r="K1357" s="6">
        <v>0.45833333333333331</v>
      </c>
      <c r="L1357" s="3">
        <v>10</v>
      </c>
      <c r="M1357" s="3" t="s">
        <v>2110</v>
      </c>
      <c r="N1357" s="3" t="s">
        <v>2110</v>
      </c>
      <c r="O1357" s="5"/>
      <c r="P1357" s="3" t="s">
        <v>22</v>
      </c>
      <c r="Q1357" s="7"/>
      <c r="R1357" s="7"/>
    </row>
    <row r="1358" spans="1:18" ht="51" x14ac:dyDescent="0.25">
      <c r="A1358" s="3" t="s">
        <v>18</v>
      </c>
      <c r="B1358" s="3">
        <v>2013</v>
      </c>
      <c r="C1358" s="3" t="s">
        <v>2058</v>
      </c>
      <c r="D1358" s="3" t="str">
        <f>"512 / 2013"</f>
        <v>512 / 2013</v>
      </c>
      <c r="E1358" s="4">
        <v>41555</v>
      </c>
      <c r="F1358" s="3" t="s">
        <v>3000</v>
      </c>
      <c r="G1358" s="5"/>
      <c r="H1358" s="3" t="s">
        <v>3001</v>
      </c>
      <c r="I1358" s="3">
        <v>29</v>
      </c>
      <c r="J1358" s="4">
        <v>41547</v>
      </c>
      <c r="K1358" s="6">
        <v>0.45833333333333331</v>
      </c>
      <c r="L1358" s="3">
        <v>11</v>
      </c>
      <c r="M1358" s="3" t="s">
        <v>3002</v>
      </c>
      <c r="N1358" s="3" t="s">
        <v>3002</v>
      </c>
      <c r="O1358" s="5"/>
      <c r="P1358" s="3" t="s">
        <v>22</v>
      </c>
      <c r="Q1358" s="7"/>
      <c r="R1358" s="7"/>
    </row>
    <row r="1359" spans="1:18" ht="76.5" x14ac:dyDescent="0.25">
      <c r="A1359" s="3" t="s">
        <v>18</v>
      </c>
      <c r="B1359" s="3">
        <v>2013</v>
      </c>
      <c r="C1359" s="3" t="s">
        <v>2058</v>
      </c>
      <c r="D1359" s="3" t="str">
        <f>"513 / 2013"</f>
        <v>513 / 2013</v>
      </c>
      <c r="E1359" s="4">
        <v>41554</v>
      </c>
      <c r="F1359" s="3" t="s">
        <v>3003</v>
      </c>
      <c r="G1359" s="5"/>
      <c r="H1359" s="3" t="s">
        <v>3004</v>
      </c>
      <c r="I1359" s="3">
        <v>29</v>
      </c>
      <c r="J1359" s="4">
        <v>41547</v>
      </c>
      <c r="K1359" s="6">
        <v>0.45833333333333331</v>
      </c>
      <c r="L1359" s="3">
        <v>12</v>
      </c>
      <c r="M1359" s="3" t="s">
        <v>3005</v>
      </c>
      <c r="N1359" s="3" t="s">
        <v>3005</v>
      </c>
      <c r="O1359" s="5"/>
      <c r="P1359" s="3" t="s">
        <v>22</v>
      </c>
      <c r="Q1359" s="7"/>
      <c r="R1359" s="7"/>
    </row>
    <row r="1360" spans="1:18" ht="140.25" x14ac:dyDescent="0.25">
      <c r="A1360" s="3" t="s">
        <v>18</v>
      </c>
      <c r="B1360" s="3">
        <v>2013</v>
      </c>
      <c r="C1360" s="3" t="s">
        <v>2058</v>
      </c>
      <c r="D1360" s="3" t="str">
        <f>"514 / 2013"</f>
        <v>514 / 2013</v>
      </c>
      <c r="E1360" s="4">
        <v>41557</v>
      </c>
      <c r="F1360" s="3" t="s">
        <v>3006</v>
      </c>
      <c r="G1360" s="5"/>
      <c r="H1360" s="3" t="s">
        <v>3007</v>
      </c>
      <c r="I1360" s="3">
        <v>29</v>
      </c>
      <c r="J1360" s="4">
        <v>41547</v>
      </c>
      <c r="K1360" s="6">
        <v>0.45833333333333331</v>
      </c>
      <c r="L1360" s="3">
        <v>13</v>
      </c>
      <c r="M1360" s="3" t="s">
        <v>2561</v>
      </c>
      <c r="N1360" s="3" t="s">
        <v>2561</v>
      </c>
      <c r="O1360" s="5"/>
      <c r="P1360" s="3" t="s">
        <v>22</v>
      </c>
      <c r="Q1360" s="7"/>
      <c r="R1360" s="7"/>
    </row>
    <row r="1361" spans="1:18" ht="51" x14ac:dyDescent="0.25">
      <c r="A1361" s="3" t="s">
        <v>18</v>
      </c>
      <c r="B1361" s="3">
        <v>2013</v>
      </c>
      <c r="C1361" s="3" t="s">
        <v>2058</v>
      </c>
      <c r="D1361" s="3" t="str">
        <f>"515 / 2013"</f>
        <v>515 / 2013</v>
      </c>
      <c r="E1361" s="4">
        <v>41551</v>
      </c>
      <c r="F1361" s="3" t="s">
        <v>3008</v>
      </c>
      <c r="G1361" s="5"/>
      <c r="H1361" s="3" t="s">
        <v>3009</v>
      </c>
      <c r="I1361" s="3">
        <v>29</v>
      </c>
      <c r="J1361" s="4">
        <v>41547</v>
      </c>
      <c r="K1361" s="6">
        <v>0.45833333333333331</v>
      </c>
      <c r="L1361" s="3">
        <v>14</v>
      </c>
      <c r="M1361" s="3" t="s">
        <v>2110</v>
      </c>
      <c r="N1361" s="3" t="s">
        <v>2110</v>
      </c>
      <c r="O1361" s="5"/>
      <c r="P1361" s="3" t="s">
        <v>22</v>
      </c>
      <c r="Q1361" s="7"/>
      <c r="R1361" s="7"/>
    </row>
    <row r="1362" spans="1:18" ht="191.25" x14ac:dyDescent="0.25">
      <c r="A1362" s="3" t="s">
        <v>18</v>
      </c>
      <c r="B1362" s="3">
        <v>2013</v>
      </c>
      <c r="C1362" s="3" t="s">
        <v>2058</v>
      </c>
      <c r="D1362" s="3" t="str">
        <f>"516 / 2013"</f>
        <v>516 / 2013</v>
      </c>
      <c r="E1362" s="4">
        <v>41550</v>
      </c>
      <c r="F1362" s="3" t="s">
        <v>3010</v>
      </c>
      <c r="G1362" s="5"/>
      <c r="H1362" s="3" t="s">
        <v>3011</v>
      </c>
      <c r="I1362" s="3">
        <v>29</v>
      </c>
      <c r="J1362" s="4">
        <v>41547</v>
      </c>
      <c r="K1362" s="6">
        <v>0.45833333333333331</v>
      </c>
      <c r="L1362" s="3">
        <v>15</v>
      </c>
      <c r="M1362" s="3" t="s">
        <v>18</v>
      </c>
      <c r="N1362" s="3" t="s">
        <v>2058</v>
      </c>
      <c r="O1362" s="5"/>
      <c r="P1362" s="3" t="s">
        <v>22</v>
      </c>
      <c r="Q1362" s="7"/>
      <c r="R1362" s="7"/>
    </row>
    <row r="1363" spans="1:18" ht="63.75" x14ac:dyDescent="0.25">
      <c r="A1363" s="3" t="s">
        <v>18</v>
      </c>
      <c r="B1363" s="3">
        <v>2013</v>
      </c>
      <c r="C1363" s="3" t="s">
        <v>2058</v>
      </c>
      <c r="D1363" s="3" t="str">
        <f>"517 / 2013"</f>
        <v>517 / 2013</v>
      </c>
      <c r="E1363" s="4">
        <v>41565</v>
      </c>
      <c r="F1363" s="3" t="s">
        <v>3012</v>
      </c>
      <c r="G1363" s="5"/>
      <c r="H1363" s="3" t="s">
        <v>3013</v>
      </c>
      <c r="I1363" s="3">
        <v>29</v>
      </c>
      <c r="J1363" s="4">
        <v>41547</v>
      </c>
      <c r="K1363" s="6">
        <v>0.45833333333333331</v>
      </c>
      <c r="L1363" s="3">
        <v>16</v>
      </c>
      <c r="M1363" s="3" t="s">
        <v>2800</v>
      </c>
      <c r="N1363" s="3" t="s">
        <v>2800</v>
      </c>
      <c r="O1363" s="5"/>
      <c r="P1363" s="3" t="s">
        <v>22</v>
      </c>
      <c r="Q1363" s="7"/>
      <c r="R1363" s="7"/>
    </row>
    <row r="1364" spans="1:18" ht="63.75" x14ac:dyDescent="0.25">
      <c r="A1364" s="3" t="s">
        <v>18</v>
      </c>
      <c r="B1364" s="3">
        <v>2013</v>
      </c>
      <c r="C1364" s="3" t="s">
        <v>2058</v>
      </c>
      <c r="D1364" s="3" t="str">
        <f>"518/ 2013"</f>
        <v>518/ 2013</v>
      </c>
      <c r="E1364" s="4">
        <v>41550</v>
      </c>
      <c r="F1364" s="3" t="s">
        <v>3014</v>
      </c>
      <c r="G1364" s="5"/>
      <c r="H1364" s="3" t="s">
        <v>3015</v>
      </c>
      <c r="I1364" s="3">
        <v>29</v>
      </c>
      <c r="J1364" s="4">
        <v>41547</v>
      </c>
      <c r="K1364" s="6">
        <v>0.45833333333333331</v>
      </c>
      <c r="L1364" s="3">
        <v>17</v>
      </c>
      <c r="M1364" s="3" t="s">
        <v>2300</v>
      </c>
      <c r="N1364" s="3" t="s">
        <v>2300</v>
      </c>
      <c r="O1364" s="5"/>
      <c r="P1364" s="3" t="s">
        <v>22</v>
      </c>
      <c r="Q1364" s="7"/>
      <c r="R1364" s="7"/>
    </row>
    <row r="1365" spans="1:18" ht="89.25" x14ac:dyDescent="0.25">
      <c r="A1365" s="3" t="s">
        <v>18</v>
      </c>
      <c r="B1365" s="3">
        <v>2013</v>
      </c>
      <c r="C1365" s="3" t="s">
        <v>2058</v>
      </c>
      <c r="D1365" s="3" t="str">
        <f>"519 / 2013"</f>
        <v>519 / 2013</v>
      </c>
      <c r="E1365" s="4">
        <v>41576</v>
      </c>
      <c r="F1365" s="3" t="s">
        <v>3016</v>
      </c>
      <c r="G1365" s="5"/>
      <c r="H1365" s="3" t="s">
        <v>3017</v>
      </c>
      <c r="I1365" s="3">
        <v>29</v>
      </c>
      <c r="J1365" s="4">
        <v>41547</v>
      </c>
      <c r="K1365" s="6">
        <v>0.45833333333333331</v>
      </c>
      <c r="L1365" s="3">
        <v>18</v>
      </c>
      <c r="M1365" s="3" t="s">
        <v>3018</v>
      </c>
      <c r="N1365" s="3" t="s">
        <v>3018</v>
      </c>
      <c r="O1365" s="5"/>
      <c r="P1365" s="3" t="s">
        <v>22</v>
      </c>
      <c r="Q1365" s="7"/>
      <c r="R1365" s="7"/>
    </row>
    <row r="1366" spans="1:18" ht="51" x14ac:dyDescent="0.25">
      <c r="A1366" s="3" t="s">
        <v>18</v>
      </c>
      <c r="B1366" s="3">
        <v>2013</v>
      </c>
      <c r="C1366" s="3" t="s">
        <v>2058</v>
      </c>
      <c r="D1366" s="3" t="str">
        <f>"52 / 2013"</f>
        <v>52 / 2013</v>
      </c>
      <c r="E1366" s="4">
        <v>41316</v>
      </c>
      <c r="F1366" s="3" t="s">
        <v>3019</v>
      </c>
      <c r="G1366" s="5"/>
      <c r="H1366" s="3" t="s">
        <v>3020</v>
      </c>
      <c r="I1366" s="3">
        <v>4</v>
      </c>
      <c r="J1366" s="4">
        <v>41312</v>
      </c>
      <c r="K1366" s="6">
        <v>0.5</v>
      </c>
      <c r="L1366" s="3">
        <v>25</v>
      </c>
      <c r="M1366" s="3" t="s">
        <v>2061</v>
      </c>
      <c r="N1366" s="3" t="s">
        <v>2061</v>
      </c>
      <c r="O1366" s="5"/>
      <c r="P1366" s="3" t="s">
        <v>22</v>
      </c>
      <c r="Q1366" s="7"/>
      <c r="R1366" s="7"/>
    </row>
    <row r="1367" spans="1:18" ht="89.25" x14ac:dyDescent="0.25">
      <c r="A1367" s="3" t="s">
        <v>18</v>
      </c>
      <c r="B1367" s="3">
        <v>2013</v>
      </c>
      <c r="C1367" s="3" t="s">
        <v>2058</v>
      </c>
      <c r="D1367" s="3" t="str">
        <f>"521 / 2013"</f>
        <v>521 / 2013</v>
      </c>
      <c r="E1367" s="4">
        <v>41576</v>
      </c>
      <c r="F1367" s="3" t="s">
        <v>3021</v>
      </c>
      <c r="G1367" s="5"/>
      <c r="H1367" s="3" t="s">
        <v>3022</v>
      </c>
      <c r="I1367" s="3">
        <v>29</v>
      </c>
      <c r="J1367" s="4">
        <v>41547</v>
      </c>
      <c r="K1367" s="6">
        <v>0.45833333333333331</v>
      </c>
      <c r="L1367" s="3">
        <v>20</v>
      </c>
      <c r="M1367" s="3" t="s">
        <v>29</v>
      </c>
      <c r="N1367" s="3" t="s">
        <v>29</v>
      </c>
      <c r="O1367" s="5"/>
      <c r="P1367" s="3" t="s">
        <v>22</v>
      </c>
      <c r="Q1367" s="7"/>
      <c r="R1367" s="7"/>
    </row>
    <row r="1368" spans="1:18" ht="114.75" x14ac:dyDescent="0.25">
      <c r="A1368" s="3" t="s">
        <v>18</v>
      </c>
      <c r="B1368" s="3">
        <v>2013</v>
      </c>
      <c r="C1368" s="3" t="s">
        <v>2058</v>
      </c>
      <c r="D1368" s="3" t="str">
        <f>"522 / 2013"</f>
        <v>522 / 2013</v>
      </c>
      <c r="E1368" s="4">
        <v>41576</v>
      </c>
      <c r="F1368" s="3" t="s">
        <v>3023</v>
      </c>
      <c r="G1368" s="5"/>
      <c r="H1368" s="3" t="s">
        <v>3024</v>
      </c>
      <c r="I1368" s="3">
        <v>29</v>
      </c>
      <c r="J1368" s="4">
        <v>41547</v>
      </c>
      <c r="K1368" s="6">
        <v>0.45833333333333331</v>
      </c>
      <c r="L1368" s="3">
        <v>21</v>
      </c>
      <c r="M1368" s="3" t="s">
        <v>2110</v>
      </c>
      <c r="N1368" s="3" t="s">
        <v>2110</v>
      </c>
      <c r="O1368" s="5"/>
      <c r="P1368" s="3" t="s">
        <v>22</v>
      </c>
      <c r="Q1368" s="7"/>
      <c r="R1368" s="7"/>
    </row>
    <row r="1369" spans="1:18" ht="102" x14ac:dyDescent="0.25">
      <c r="A1369" s="3" t="s">
        <v>18</v>
      </c>
      <c r="B1369" s="3">
        <v>2013</v>
      </c>
      <c r="C1369" s="3" t="s">
        <v>2058</v>
      </c>
      <c r="D1369" s="3" t="str">
        <f>"523 / 2013"</f>
        <v>523 / 2013</v>
      </c>
      <c r="E1369" s="4">
        <v>41576</v>
      </c>
      <c r="F1369" s="3" t="s">
        <v>3025</v>
      </c>
      <c r="G1369" s="5"/>
      <c r="H1369" s="3" t="s">
        <v>3026</v>
      </c>
      <c r="I1369" s="3">
        <v>29</v>
      </c>
      <c r="J1369" s="4">
        <v>41547</v>
      </c>
      <c r="K1369" s="6">
        <v>0.45833333333333331</v>
      </c>
      <c r="L1369" s="3">
        <v>22</v>
      </c>
      <c r="M1369" s="3" t="s">
        <v>29</v>
      </c>
      <c r="N1369" s="3" t="s">
        <v>29</v>
      </c>
      <c r="O1369" s="5"/>
      <c r="P1369" s="3" t="s">
        <v>22</v>
      </c>
      <c r="Q1369" s="7"/>
      <c r="R1369" s="7"/>
    </row>
    <row r="1370" spans="1:18" ht="102" x14ac:dyDescent="0.25">
      <c r="A1370" s="3" t="s">
        <v>18</v>
      </c>
      <c r="B1370" s="3">
        <v>2013</v>
      </c>
      <c r="C1370" s="3" t="s">
        <v>2058</v>
      </c>
      <c r="D1370" s="3" t="str">
        <f>"524 / 2013"</f>
        <v>524 / 2013</v>
      </c>
      <c r="E1370" s="4">
        <v>41554</v>
      </c>
      <c r="F1370" s="3" t="s">
        <v>3027</v>
      </c>
      <c r="G1370" s="5"/>
      <c r="H1370" s="3" t="s">
        <v>3028</v>
      </c>
      <c r="I1370" s="3">
        <v>29</v>
      </c>
      <c r="J1370" s="4">
        <v>41547</v>
      </c>
      <c r="K1370" s="6">
        <v>0.45833333333333331</v>
      </c>
      <c r="L1370" s="3">
        <v>23</v>
      </c>
      <c r="M1370" s="3" t="s">
        <v>2099</v>
      </c>
      <c r="N1370" s="3" t="s">
        <v>2099</v>
      </c>
      <c r="O1370" s="5"/>
      <c r="P1370" s="3" t="s">
        <v>22</v>
      </c>
      <c r="Q1370" s="7"/>
      <c r="R1370" s="7"/>
    </row>
    <row r="1371" spans="1:18" ht="114.75" x14ac:dyDescent="0.25">
      <c r="A1371" s="3" t="s">
        <v>18</v>
      </c>
      <c r="B1371" s="3">
        <v>2013</v>
      </c>
      <c r="C1371" s="3" t="s">
        <v>2058</v>
      </c>
      <c r="D1371" s="3" t="str">
        <f>"525 / 2013"</f>
        <v>525 / 2013</v>
      </c>
      <c r="E1371" s="4">
        <v>41554</v>
      </c>
      <c r="F1371" s="3" t="s">
        <v>3029</v>
      </c>
      <c r="G1371" s="5"/>
      <c r="H1371" s="3" t="s">
        <v>3030</v>
      </c>
      <c r="I1371" s="3">
        <v>29</v>
      </c>
      <c r="J1371" s="4">
        <v>41547</v>
      </c>
      <c r="K1371" s="6">
        <v>0.45833333333333331</v>
      </c>
      <c r="L1371" s="3">
        <v>24</v>
      </c>
      <c r="M1371" s="3" t="s">
        <v>2064</v>
      </c>
      <c r="N1371" s="3" t="s">
        <v>2064</v>
      </c>
      <c r="O1371" s="5"/>
      <c r="P1371" s="3" t="s">
        <v>22</v>
      </c>
      <c r="Q1371" s="7"/>
      <c r="R1371" s="7"/>
    </row>
    <row r="1372" spans="1:18" ht="114.75" x14ac:dyDescent="0.25">
      <c r="A1372" s="3" t="s">
        <v>18</v>
      </c>
      <c r="B1372" s="3">
        <v>2013</v>
      </c>
      <c r="C1372" s="3" t="s">
        <v>2058</v>
      </c>
      <c r="D1372" s="3" t="str">
        <f>"526 / 2013"</f>
        <v>526 / 2013</v>
      </c>
      <c r="E1372" s="4">
        <v>41554</v>
      </c>
      <c r="F1372" s="3" t="s">
        <v>3031</v>
      </c>
      <c r="G1372" s="5"/>
      <c r="H1372" s="3" t="s">
        <v>3030</v>
      </c>
      <c r="I1372" s="3">
        <v>29</v>
      </c>
      <c r="J1372" s="4">
        <v>41547</v>
      </c>
      <c r="K1372" s="6">
        <v>0.45833333333333331</v>
      </c>
      <c r="L1372" s="3">
        <v>25</v>
      </c>
      <c r="M1372" s="3" t="s">
        <v>2064</v>
      </c>
      <c r="N1372" s="3" t="s">
        <v>2064</v>
      </c>
      <c r="O1372" s="5"/>
      <c r="P1372" s="3" t="s">
        <v>22</v>
      </c>
      <c r="Q1372" s="7"/>
      <c r="R1372" s="7"/>
    </row>
    <row r="1373" spans="1:18" ht="114.75" x14ac:dyDescent="0.25">
      <c r="A1373" s="3" t="s">
        <v>18</v>
      </c>
      <c r="B1373" s="3">
        <v>2013</v>
      </c>
      <c r="C1373" s="3" t="s">
        <v>2058</v>
      </c>
      <c r="D1373" s="3" t="str">
        <f>"527 / 2013"</f>
        <v>527 / 2013</v>
      </c>
      <c r="E1373" s="4">
        <v>41554</v>
      </c>
      <c r="F1373" s="3" t="s">
        <v>3032</v>
      </c>
      <c r="G1373" s="5"/>
      <c r="H1373" s="3" t="s">
        <v>3030</v>
      </c>
      <c r="I1373" s="3">
        <v>29</v>
      </c>
      <c r="J1373" s="4">
        <v>41547</v>
      </c>
      <c r="K1373" s="6">
        <v>0.45833333333333331</v>
      </c>
      <c r="L1373" s="3">
        <v>26</v>
      </c>
      <c r="M1373" s="3" t="s">
        <v>2064</v>
      </c>
      <c r="N1373" s="3" t="s">
        <v>2064</v>
      </c>
      <c r="O1373" s="5"/>
      <c r="P1373" s="3" t="s">
        <v>22</v>
      </c>
      <c r="Q1373" s="7"/>
      <c r="R1373" s="7"/>
    </row>
    <row r="1374" spans="1:18" ht="127.5" x14ac:dyDescent="0.25">
      <c r="A1374" s="3" t="s">
        <v>18</v>
      </c>
      <c r="B1374" s="3">
        <v>2013</v>
      </c>
      <c r="C1374" s="3" t="s">
        <v>2058</v>
      </c>
      <c r="D1374" s="3" t="str">
        <f>"528 / 2013"</f>
        <v>528 / 2013</v>
      </c>
      <c r="E1374" s="4">
        <v>41555</v>
      </c>
      <c r="F1374" s="3" t="s">
        <v>3033</v>
      </c>
      <c r="G1374" s="5"/>
      <c r="H1374" s="3" t="s">
        <v>3034</v>
      </c>
      <c r="I1374" s="3">
        <v>29</v>
      </c>
      <c r="J1374" s="4">
        <v>41547</v>
      </c>
      <c r="K1374" s="6">
        <v>0.45833333333333331</v>
      </c>
      <c r="L1374" s="3">
        <v>27</v>
      </c>
      <c r="M1374" s="3" t="s">
        <v>2064</v>
      </c>
      <c r="N1374" s="3" t="s">
        <v>2064</v>
      </c>
      <c r="O1374" s="5"/>
      <c r="P1374" s="3" t="s">
        <v>22</v>
      </c>
      <c r="Q1374" s="7"/>
      <c r="R1374" s="7"/>
    </row>
    <row r="1375" spans="1:18" ht="63.75" x14ac:dyDescent="0.25">
      <c r="A1375" s="3" t="s">
        <v>18</v>
      </c>
      <c r="B1375" s="3">
        <v>2013</v>
      </c>
      <c r="C1375" s="3" t="s">
        <v>2058</v>
      </c>
      <c r="D1375" s="3" t="str">
        <f>"529 / 2013"</f>
        <v>529 / 2013</v>
      </c>
      <c r="E1375" s="4">
        <v>41520</v>
      </c>
      <c r="F1375" s="3" t="s">
        <v>3035</v>
      </c>
      <c r="G1375" s="5"/>
      <c r="H1375" s="3" t="s">
        <v>3036</v>
      </c>
      <c r="I1375" s="3">
        <v>29</v>
      </c>
      <c r="J1375" s="4">
        <v>41547</v>
      </c>
      <c r="K1375" s="6">
        <v>0.45833333333333331</v>
      </c>
      <c r="L1375" s="3">
        <v>28</v>
      </c>
      <c r="M1375" s="3" t="s">
        <v>3037</v>
      </c>
      <c r="N1375" s="3" t="s">
        <v>2058</v>
      </c>
      <c r="O1375" s="5"/>
      <c r="P1375" s="3" t="s">
        <v>22</v>
      </c>
      <c r="Q1375" s="7"/>
      <c r="R1375" s="7"/>
    </row>
    <row r="1376" spans="1:18" ht="51" x14ac:dyDescent="0.25">
      <c r="A1376" s="3" t="s">
        <v>18</v>
      </c>
      <c r="B1376" s="3">
        <v>2013</v>
      </c>
      <c r="C1376" s="3" t="s">
        <v>2058</v>
      </c>
      <c r="D1376" s="3" t="str">
        <f>"53 / 2013"</f>
        <v>53 / 2013</v>
      </c>
      <c r="E1376" s="4">
        <v>41316</v>
      </c>
      <c r="F1376" s="3" t="s">
        <v>3038</v>
      </c>
      <c r="G1376" s="5"/>
      <c r="H1376" s="3" t="s">
        <v>3039</v>
      </c>
      <c r="I1376" s="3">
        <v>4</v>
      </c>
      <c r="J1376" s="4">
        <v>41312</v>
      </c>
      <c r="K1376" s="6">
        <v>0.5</v>
      </c>
      <c r="L1376" s="3">
        <v>26</v>
      </c>
      <c r="M1376" s="3" t="s">
        <v>2061</v>
      </c>
      <c r="N1376" s="3" t="s">
        <v>2061</v>
      </c>
      <c r="O1376" s="5"/>
      <c r="P1376" s="3" t="s">
        <v>22</v>
      </c>
      <c r="Q1376" s="7"/>
      <c r="R1376" s="7"/>
    </row>
    <row r="1377" spans="1:18" ht="127.5" x14ac:dyDescent="0.25">
      <c r="A1377" s="3" t="s">
        <v>18</v>
      </c>
      <c r="B1377" s="3">
        <v>2013</v>
      </c>
      <c r="C1377" s="3" t="s">
        <v>2058</v>
      </c>
      <c r="D1377" s="3" t="str">
        <f>"530 / 2013"</f>
        <v>530 / 2013</v>
      </c>
      <c r="E1377" s="4">
        <v>41556</v>
      </c>
      <c r="F1377" s="3" t="s">
        <v>3040</v>
      </c>
      <c r="G1377" s="5"/>
      <c r="H1377" s="3" t="s">
        <v>3041</v>
      </c>
      <c r="I1377" s="3">
        <v>29</v>
      </c>
      <c r="J1377" s="4">
        <v>41547</v>
      </c>
      <c r="K1377" s="6">
        <v>0.45833333333333331</v>
      </c>
      <c r="L1377" s="3">
        <v>29</v>
      </c>
      <c r="M1377" s="3" t="s">
        <v>2074</v>
      </c>
      <c r="N1377" s="3" t="s">
        <v>2074</v>
      </c>
      <c r="O1377" s="5"/>
      <c r="P1377" s="3" t="s">
        <v>22</v>
      </c>
      <c r="Q1377" s="7"/>
      <c r="R1377" s="7"/>
    </row>
    <row r="1378" spans="1:18" ht="165.75" x14ac:dyDescent="0.25">
      <c r="A1378" s="3" t="s">
        <v>18</v>
      </c>
      <c r="B1378" s="3">
        <v>2013</v>
      </c>
      <c r="C1378" s="3" t="s">
        <v>2058</v>
      </c>
      <c r="D1378" s="3" t="str">
        <f>"531 / 2013"</f>
        <v>531 / 2013</v>
      </c>
      <c r="E1378" s="4">
        <v>41557</v>
      </c>
      <c r="F1378" s="3" t="s">
        <v>3042</v>
      </c>
      <c r="G1378" s="5"/>
      <c r="H1378" s="3" t="s">
        <v>3043</v>
      </c>
      <c r="I1378" s="3">
        <v>29</v>
      </c>
      <c r="J1378" s="4">
        <v>41547</v>
      </c>
      <c r="K1378" s="6">
        <v>0.45833333333333331</v>
      </c>
      <c r="L1378" s="3">
        <v>30</v>
      </c>
      <c r="M1378" s="3" t="s">
        <v>2074</v>
      </c>
      <c r="N1378" s="3" t="s">
        <v>2074</v>
      </c>
      <c r="O1378" s="5"/>
      <c r="P1378" s="3" t="s">
        <v>22</v>
      </c>
      <c r="Q1378" s="7"/>
      <c r="R1378" s="7"/>
    </row>
    <row r="1379" spans="1:18" ht="51" x14ac:dyDescent="0.25">
      <c r="A1379" s="3" t="s">
        <v>18</v>
      </c>
      <c r="B1379" s="3">
        <v>2013</v>
      </c>
      <c r="C1379" s="3" t="s">
        <v>2058</v>
      </c>
      <c r="D1379" s="3" t="str">
        <f>"533 / 2013"</f>
        <v>533 / 2013</v>
      </c>
      <c r="E1379" s="4">
        <v>41555</v>
      </c>
      <c r="F1379" s="3" t="s">
        <v>3044</v>
      </c>
      <c r="G1379" s="5"/>
      <c r="H1379" s="3" t="s">
        <v>3045</v>
      </c>
      <c r="I1379" s="3">
        <v>29</v>
      </c>
      <c r="J1379" s="4">
        <v>41547</v>
      </c>
      <c r="K1379" s="6">
        <v>0.45833333333333331</v>
      </c>
      <c r="L1379" s="3">
        <v>32</v>
      </c>
      <c r="M1379" s="3" t="s">
        <v>2099</v>
      </c>
      <c r="N1379" s="3" t="s">
        <v>2099</v>
      </c>
      <c r="O1379" s="5"/>
      <c r="P1379" s="3" t="s">
        <v>22</v>
      </c>
      <c r="Q1379" s="7"/>
      <c r="R1379" s="7"/>
    </row>
    <row r="1380" spans="1:18" ht="51" x14ac:dyDescent="0.25">
      <c r="A1380" s="3" t="s">
        <v>18</v>
      </c>
      <c r="B1380" s="3">
        <v>2013</v>
      </c>
      <c r="C1380" s="3" t="s">
        <v>2058</v>
      </c>
      <c r="D1380" s="3" t="str">
        <f>"534 / 2013"</f>
        <v>534 / 2013</v>
      </c>
      <c r="E1380" s="4">
        <v>41547</v>
      </c>
      <c r="F1380" s="3" t="s">
        <v>3046</v>
      </c>
      <c r="G1380" s="5"/>
      <c r="H1380" s="3" t="s">
        <v>3047</v>
      </c>
      <c r="I1380" s="3">
        <v>29</v>
      </c>
      <c r="J1380" s="4">
        <v>41547</v>
      </c>
      <c r="K1380" s="6">
        <v>0.45833333333333331</v>
      </c>
      <c r="L1380" s="3">
        <v>33</v>
      </c>
      <c r="M1380" s="3" t="s">
        <v>2110</v>
      </c>
      <c r="N1380" s="3" t="s">
        <v>2110</v>
      </c>
      <c r="O1380" s="5"/>
      <c r="P1380" s="3" t="s">
        <v>22</v>
      </c>
      <c r="Q1380" s="7"/>
      <c r="R1380" s="7"/>
    </row>
    <row r="1381" spans="1:18" ht="63.75" x14ac:dyDescent="0.25">
      <c r="A1381" s="3" t="s">
        <v>18</v>
      </c>
      <c r="B1381" s="3">
        <v>2013</v>
      </c>
      <c r="C1381" s="3" t="s">
        <v>2058</v>
      </c>
      <c r="D1381" s="3" t="str">
        <f>"535 / 2013"</f>
        <v>535 / 2013</v>
      </c>
      <c r="E1381" s="4">
        <v>41548</v>
      </c>
      <c r="F1381" s="3" t="s">
        <v>3048</v>
      </c>
      <c r="G1381" s="5"/>
      <c r="H1381" s="3" t="s">
        <v>3049</v>
      </c>
      <c r="I1381" s="3">
        <v>29</v>
      </c>
      <c r="J1381" s="4">
        <v>41547</v>
      </c>
      <c r="K1381" s="6">
        <v>0.45833333333333331</v>
      </c>
      <c r="L1381" s="5"/>
      <c r="M1381" s="3" t="s">
        <v>2110</v>
      </c>
      <c r="N1381" s="3" t="s">
        <v>2110</v>
      </c>
      <c r="O1381" s="5"/>
      <c r="P1381" s="3" t="s">
        <v>74</v>
      </c>
      <c r="Q1381" s="7"/>
      <c r="R1381" s="7"/>
    </row>
    <row r="1382" spans="1:18" ht="89.25" x14ac:dyDescent="0.25">
      <c r="A1382" s="3" t="s">
        <v>18</v>
      </c>
      <c r="B1382" s="3">
        <v>2013</v>
      </c>
      <c r="C1382" s="3" t="s">
        <v>2058</v>
      </c>
      <c r="D1382" s="3" t="str">
        <f>"536 / 2013"</f>
        <v>536 / 2013</v>
      </c>
      <c r="E1382" s="4">
        <v>41550</v>
      </c>
      <c r="F1382" s="3" t="s">
        <v>3050</v>
      </c>
      <c r="G1382" s="5"/>
      <c r="H1382" s="3" t="s">
        <v>3051</v>
      </c>
      <c r="I1382" s="3">
        <v>29</v>
      </c>
      <c r="J1382" s="4">
        <v>41547</v>
      </c>
      <c r="K1382" s="6">
        <v>0.45833333333333331</v>
      </c>
      <c r="L1382" s="5"/>
      <c r="M1382" s="3" t="s">
        <v>2400</v>
      </c>
      <c r="N1382" s="3" t="s">
        <v>2400</v>
      </c>
      <c r="O1382" s="5"/>
      <c r="P1382" s="3" t="s">
        <v>74</v>
      </c>
      <c r="Q1382" s="7"/>
      <c r="R1382" s="7"/>
    </row>
    <row r="1383" spans="1:18" ht="63.75" x14ac:dyDescent="0.25">
      <c r="A1383" s="3" t="s">
        <v>18</v>
      </c>
      <c r="B1383" s="3">
        <v>2013</v>
      </c>
      <c r="C1383" s="3" t="s">
        <v>2058</v>
      </c>
      <c r="D1383" s="3" t="str">
        <f>"537 / 2013"</f>
        <v>537 / 2013</v>
      </c>
      <c r="E1383" s="4">
        <v>41556</v>
      </c>
      <c r="F1383" s="3" t="s">
        <v>3052</v>
      </c>
      <c r="G1383" s="5"/>
      <c r="H1383" s="3" t="s">
        <v>3053</v>
      </c>
      <c r="I1383" s="3">
        <v>30</v>
      </c>
      <c r="J1383" s="4">
        <v>41556</v>
      </c>
      <c r="K1383" s="6">
        <v>0.47916666666666669</v>
      </c>
      <c r="L1383" s="3">
        <v>1</v>
      </c>
      <c r="M1383" s="3" t="s">
        <v>2300</v>
      </c>
      <c r="N1383" s="3" t="s">
        <v>2300</v>
      </c>
      <c r="O1383" s="5"/>
      <c r="P1383" s="3" t="s">
        <v>22</v>
      </c>
      <c r="Q1383" s="7"/>
      <c r="R1383" s="7"/>
    </row>
    <row r="1384" spans="1:18" ht="63.75" x14ac:dyDescent="0.25">
      <c r="A1384" s="3" t="s">
        <v>18</v>
      </c>
      <c r="B1384" s="3">
        <v>2013</v>
      </c>
      <c r="C1384" s="3" t="s">
        <v>2058</v>
      </c>
      <c r="D1384" s="3" t="str">
        <f>"538 / 2013"</f>
        <v>538 / 2013</v>
      </c>
      <c r="E1384" s="4">
        <v>41569</v>
      </c>
      <c r="F1384" s="3" t="s">
        <v>3054</v>
      </c>
      <c r="G1384" s="5"/>
      <c r="H1384" s="3" t="s">
        <v>3055</v>
      </c>
      <c r="I1384" s="3">
        <v>30</v>
      </c>
      <c r="J1384" s="4">
        <v>41556</v>
      </c>
      <c r="K1384" s="6">
        <v>0.47916666666666669</v>
      </c>
      <c r="L1384" s="3">
        <v>2</v>
      </c>
      <c r="M1384" s="3" t="s">
        <v>2110</v>
      </c>
      <c r="N1384" s="3" t="s">
        <v>2110</v>
      </c>
      <c r="O1384" s="5"/>
      <c r="P1384" s="3" t="s">
        <v>22</v>
      </c>
      <c r="Q1384" s="7"/>
      <c r="R1384" s="7"/>
    </row>
    <row r="1385" spans="1:18" ht="89.25" x14ac:dyDescent="0.25">
      <c r="A1385" s="3" t="s">
        <v>18</v>
      </c>
      <c r="B1385" s="3">
        <v>2013</v>
      </c>
      <c r="C1385" s="3" t="s">
        <v>2058</v>
      </c>
      <c r="D1385" s="3" t="str">
        <f>"539 / 2013"</f>
        <v>539 / 2013</v>
      </c>
      <c r="E1385" s="4">
        <v>41558</v>
      </c>
      <c r="F1385" s="3" t="s">
        <v>3056</v>
      </c>
      <c r="G1385" s="5"/>
      <c r="H1385" s="3" t="s">
        <v>3057</v>
      </c>
      <c r="I1385" s="3">
        <v>30</v>
      </c>
      <c r="J1385" s="4">
        <v>41556</v>
      </c>
      <c r="K1385" s="6">
        <v>0.47916666666666669</v>
      </c>
      <c r="L1385" s="3">
        <v>3</v>
      </c>
      <c r="M1385" s="3" t="s">
        <v>35</v>
      </c>
      <c r="N1385" s="3" t="s">
        <v>35</v>
      </c>
      <c r="O1385" s="5"/>
      <c r="P1385" s="3" t="s">
        <v>22</v>
      </c>
      <c r="Q1385" s="7"/>
      <c r="R1385" s="7"/>
    </row>
    <row r="1386" spans="1:18" ht="89.25" x14ac:dyDescent="0.25">
      <c r="A1386" s="3" t="s">
        <v>18</v>
      </c>
      <c r="B1386" s="3">
        <v>2013</v>
      </c>
      <c r="C1386" s="3" t="s">
        <v>2058</v>
      </c>
      <c r="D1386" s="3" t="str">
        <f>"54 / 2013"</f>
        <v>54 / 2013</v>
      </c>
      <c r="E1386" s="4">
        <v>41313</v>
      </c>
      <c r="F1386" s="3" t="s">
        <v>3058</v>
      </c>
      <c r="G1386" s="5"/>
      <c r="H1386" s="3" t="s">
        <v>3059</v>
      </c>
      <c r="I1386" s="3">
        <v>4</v>
      </c>
      <c r="J1386" s="4">
        <v>41312</v>
      </c>
      <c r="K1386" s="6">
        <v>0.5</v>
      </c>
      <c r="L1386" s="3">
        <v>27</v>
      </c>
      <c r="M1386" s="3" t="s">
        <v>2110</v>
      </c>
      <c r="N1386" s="3" t="s">
        <v>2110</v>
      </c>
      <c r="O1386" s="5"/>
      <c r="P1386" s="3" t="s">
        <v>22</v>
      </c>
      <c r="Q1386" s="7"/>
      <c r="R1386" s="7"/>
    </row>
    <row r="1387" spans="1:18" ht="51" x14ac:dyDescent="0.25">
      <c r="A1387" s="3" t="s">
        <v>18</v>
      </c>
      <c r="B1387" s="3">
        <v>2013</v>
      </c>
      <c r="C1387" s="3" t="s">
        <v>2058</v>
      </c>
      <c r="D1387" s="3" t="str">
        <f>"540 / 2013"</f>
        <v>540 / 2013</v>
      </c>
      <c r="E1387" s="4">
        <v>41572</v>
      </c>
      <c r="F1387" s="3" t="s">
        <v>3060</v>
      </c>
      <c r="G1387" s="5"/>
      <c r="H1387" s="3" t="s">
        <v>3061</v>
      </c>
      <c r="I1387" s="3">
        <v>30</v>
      </c>
      <c r="J1387" s="4">
        <v>41556</v>
      </c>
      <c r="K1387" s="6">
        <v>0.47916666666666669</v>
      </c>
      <c r="L1387" s="3">
        <v>4</v>
      </c>
      <c r="M1387" s="3" t="s">
        <v>2705</v>
      </c>
      <c r="N1387" s="3" t="s">
        <v>2705</v>
      </c>
      <c r="O1387" s="5"/>
      <c r="P1387" s="3" t="s">
        <v>22</v>
      </c>
      <c r="Q1387" s="7"/>
      <c r="R1387" s="7"/>
    </row>
    <row r="1388" spans="1:18" ht="51" x14ac:dyDescent="0.25">
      <c r="A1388" s="3" t="s">
        <v>18</v>
      </c>
      <c r="B1388" s="3">
        <v>2013</v>
      </c>
      <c r="C1388" s="3" t="s">
        <v>2058</v>
      </c>
      <c r="D1388" s="3" t="str">
        <f>"541 / 2013"</f>
        <v>541 / 2013</v>
      </c>
      <c r="E1388" s="4">
        <v>41564</v>
      </c>
      <c r="F1388" s="3" t="s">
        <v>3062</v>
      </c>
      <c r="G1388" s="5"/>
      <c r="H1388" s="3" t="s">
        <v>3063</v>
      </c>
      <c r="I1388" s="3">
        <v>30</v>
      </c>
      <c r="J1388" s="4">
        <v>41556</v>
      </c>
      <c r="K1388" s="6">
        <v>0.47916666666666669</v>
      </c>
      <c r="L1388" s="3">
        <v>5</v>
      </c>
      <c r="M1388" s="3" t="s">
        <v>2110</v>
      </c>
      <c r="N1388" s="3" t="s">
        <v>2110</v>
      </c>
      <c r="O1388" s="5"/>
      <c r="P1388" s="3" t="s">
        <v>22</v>
      </c>
      <c r="Q1388" s="7"/>
      <c r="R1388" s="7"/>
    </row>
    <row r="1389" spans="1:18" ht="63.75" x14ac:dyDescent="0.25">
      <c r="A1389" s="3" t="s">
        <v>18</v>
      </c>
      <c r="B1389" s="3">
        <v>2013</v>
      </c>
      <c r="C1389" s="3" t="s">
        <v>2058</v>
      </c>
      <c r="D1389" s="3" t="str">
        <f>"542 / 2013"</f>
        <v>542 / 2013</v>
      </c>
      <c r="E1389" s="4">
        <v>41565</v>
      </c>
      <c r="F1389" s="3" t="s">
        <v>3064</v>
      </c>
      <c r="G1389" s="5"/>
      <c r="H1389" s="3" t="s">
        <v>3065</v>
      </c>
      <c r="I1389" s="3">
        <v>30</v>
      </c>
      <c r="J1389" s="4">
        <v>41556</v>
      </c>
      <c r="K1389" s="6">
        <v>0.47916666666666669</v>
      </c>
      <c r="L1389" s="3">
        <v>6</v>
      </c>
      <c r="M1389" s="3" t="s">
        <v>2110</v>
      </c>
      <c r="N1389" s="3" t="s">
        <v>2110</v>
      </c>
      <c r="O1389" s="5"/>
      <c r="P1389" s="3" t="s">
        <v>22</v>
      </c>
      <c r="Q1389" s="7"/>
      <c r="R1389" s="7"/>
    </row>
    <row r="1390" spans="1:18" ht="76.5" x14ac:dyDescent="0.25">
      <c r="A1390" s="3" t="s">
        <v>18</v>
      </c>
      <c r="B1390" s="3">
        <v>2013</v>
      </c>
      <c r="C1390" s="3" t="s">
        <v>2058</v>
      </c>
      <c r="D1390" s="3" t="str">
        <f>"543 / 2013"</f>
        <v>543 / 2013</v>
      </c>
      <c r="E1390" s="4">
        <v>41565</v>
      </c>
      <c r="F1390" s="3" t="s">
        <v>3066</v>
      </c>
      <c r="G1390" s="5"/>
      <c r="H1390" s="3" t="s">
        <v>3067</v>
      </c>
      <c r="I1390" s="3">
        <v>30</v>
      </c>
      <c r="J1390" s="4">
        <v>41556</v>
      </c>
      <c r="K1390" s="6">
        <v>0.47916666666666669</v>
      </c>
      <c r="L1390" s="3">
        <v>7</v>
      </c>
      <c r="M1390" s="3" t="s">
        <v>2110</v>
      </c>
      <c r="N1390" s="3" t="s">
        <v>2110</v>
      </c>
      <c r="O1390" s="5"/>
      <c r="P1390" s="3" t="s">
        <v>22</v>
      </c>
      <c r="Q1390" s="7"/>
      <c r="R1390" s="7"/>
    </row>
    <row r="1391" spans="1:18" ht="38.25" x14ac:dyDescent="0.25">
      <c r="A1391" s="3" t="s">
        <v>18</v>
      </c>
      <c r="B1391" s="3">
        <v>2013</v>
      </c>
      <c r="C1391" s="3" t="s">
        <v>2058</v>
      </c>
      <c r="D1391" s="3" t="str">
        <f>"544 / 2013"</f>
        <v>544 / 2013</v>
      </c>
      <c r="E1391" s="4">
        <v>41568</v>
      </c>
      <c r="F1391" s="3" t="s">
        <v>3068</v>
      </c>
      <c r="G1391" s="5"/>
      <c r="H1391" s="3" t="s">
        <v>3069</v>
      </c>
      <c r="I1391" s="3">
        <v>30</v>
      </c>
      <c r="J1391" s="4">
        <v>41556</v>
      </c>
      <c r="K1391" s="6">
        <v>0.47916666666666669</v>
      </c>
      <c r="L1391" s="3">
        <v>8</v>
      </c>
      <c r="M1391" s="3" t="s">
        <v>2110</v>
      </c>
      <c r="N1391" s="3" t="s">
        <v>2110</v>
      </c>
      <c r="O1391" s="5"/>
      <c r="P1391" s="3" t="s">
        <v>22</v>
      </c>
      <c r="Q1391" s="7"/>
      <c r="R1391" s="7"/>
    </row>
    <row r="1392" spans="1:18" ht="51" x14ac:dyDescent="0.25">
      <c r="A1392" s="3" t="s">
        <v>18</v>
      </c>
      <c r="B1392" s="3">
        <v>2013</v>
      </c>
      <c r="C1392" s="3" t="s">
        <v>2058</v>
      </c>
      <c r="D1392" s="3" t="str">
        <f>"545 / 2013"</f>
        <v>545 / 2013</v>
      </c>
      <c r="E1392" s="4">
        <v>41568</v>
      </c>
      <c r="F1392" s="3" t="s">
        <v>3070</v>
      </c>
      <c r="G1392" s="5"/>
      <c r="H1392" s="3" t="s">
        <v>3071</v>
      </c>
      <c r="I1392" s="3">
        <v>30</v>
      </c>
      <c r="J1392" s="4">
        <v>41556</v>
      </c>
      <c r="K1392" s="6">
        <v>0.47916666666666669</v>
      </c>
      <c r="L1392" s="3">
        <v>9</v>
      </c>
      <c r="M1392" s="3" t="s">
        <v>2110</v>
      </c>
      <c r="N1392" s="3" t="s">
        <v>2110</v>
      </c>
      <c r="O1392" s="5"/>
      <c r="P1392" s="3" t="s">
        <v>22</v>
      </c>
      <c r="Q1392" s="7"/>
      <c r="R1392" s="7"/>
    </row>
    <row r="1393" spans="1:18" ht="89.25" x14ac:dyDescent="0.25">
      <c r="A1393" s="3" t="s">
        <v>18</v>
      </c>
      <c r="B1393" s="3">
        <v>2013</v>
      </c>
      <c r="C1393" s="3" t="s">
        <v>2058</v>
      </c>
      <c r="D1393" s="3" t="str">
        <f>"546 / 2013"</f>
        <v>546 / 2013</v>
      </c>
      <c r="E1393" s="4">
        <v>41569</v>
      </c>
      <c r="F1393" s="3" t="s">
        <v>3072</v>
      </c>
      <c r="G1393" s="5"/>
      <c r="H1393" s="3" t="s">
        <v>3073</v>
      </c>
      <c r="I1393" s="3">
        <v>30</v>
      </c>
      <c r="J1393" s="4">
        <v>41556</v>
      </c>
      <c r="K1393" s="6">
        <v>0.47916666666666669</v>
      </c>
      <c r="L1393" s="3">
        <v>10</v>
      </c>
      <c r="M1393" s="3" t="s">
        <v>2110</v>
      </c>
      <c r="N1393" s="3" t="s">
        <v>2110</v>
      </c>
      <c r="O1393" s="5"/>
      <c r="P1393" s="3" t="s">
        <v>22</v>
      </c>
      <c r="Q1393" s="7"/>
      <c r="R1393" s="7"/>
    </row>
    <row r="1394" spans="1:18" ht="51" x14ac:dyDescent="0.25">
      <c r="A1394" s="3" t="s">
        <v>18</v>
      </c>
      <c r="B1394" s="3">
        <v>2013</v>
      </c>
      <c r="C1394" s="3" t="s">
        <v>2058</v>
      </c>
      <c r="D1394" s="3" t="str">
        <f>"547 / 2013"</f>
        <v>547 / 2013</v>
      </c>
      <c r="E1394" s="4">
        <v>41572</v>
      </c>
      <c r="F1394" s="3" t="s">
        <v>3074</v>
      </c>
      <c r="G1394" s="5"/>
      <c r="H1394" s="3" t="s">
        <v>3075</v>
      </c>
      <c r="I1394" s="3">
        <v>30</v>
      </c>
      <c r="J1394" s="4">
        <v>41556</v>
      </c>
      <c r="K1394" s="6">
        <v>0.47916666666666669</v>
      </c>
      <c r="L1394" s="3">
        <v>11</v>
      </c>
      <c r="M1394" s="3" t="s">
        <v>2442</v>
      </c>
      <c r="N1394" s="3" t="s">
        <v>2442</v>
      </c>
      <c r="O1394" s="5"/>
      <c r="P1394" s="3" t="s">
        <v>22</v>
      </c>
      <c r="Q1394" s="7"/>
      <c r="R1394" s="7"/>
    </row>
    <row r="1395" spans="1:18" ht="51" x14ac:dyDescent="0.25">
      <c r="A1395" s="3" t="s">
        <v>18</v>
      </c>
      <c r="B1395" s="3">
        <v>2013</v>
      </c>
      <c r="C1395" s="3" t="s">
        <v>2058</v>
      </c>
      <c r="D1395" s="3" t="str">
        <f>"548/ 2013"</f>
        <v>548/ 2013</v>
      </c>
      <c r="E1395" s="4">
        <v>41564</v>
      </c>
      <c r="F1395" s="3" t="s">
        <v>3076</v>
      </c>
      <c r="G1395" s="5"/>
      <c r="H1395" s="3" t="s">
        <v>3077</v>
      </c>
      <c r="I1395" s="3">
        <v>30</v>
      </c>
      <c r="J1395" s="4">
        <v>41556</v>
      </c>
      <c r="K1395" s="6">
        <v>0.47916666666666669</v>
      </c>
      <c r="L1395" s="3">
        <v>12</v>
      </c>
      <c r="M1395" s="3" t="s">
        <v>2061</v>
      </c>
      <c r="N1395" s="3" t="s">
        <v>2061</v>
      </c>
      <c r="O1395" s="5"/>
      <c r="P1395" s="3" t="s">
        <v>22</v>
      </c>
      <c r="Q1395" s="7"/>
      <c r="R1395" s="7"/>
    </row>
    <row r="1396" spans="1:18" ht="38.25" x14ac:dyDescent="0.25">
      <c r="A1396" s="3" t="s">
        <v>18</v>
      </c>
      <c r="B1396" s="3">
        <v>2013</v>
      </c>
      <c r="C1396" s="3" t="s">
        <v>2058</v>
      </c>
      <c r="D1396" s="3" t="str">
        <f>"549 / 2013"</f>
        <v>549 / 2013</v>
      </c>
      <c r="E1396" s="4">
        <v>41564</v>
      </c>
      <c r="F1396" s="3" t="s">
        <v>3078</v>
      </c>
      <c r="G1396" s="5"/>
      <c r="H1396" s="3" t="s">
        <v>3079</v>
      </c>
      <c r="I1396" s="3">
        <v>30</v>
      </c>
      <c r="J1396" s="4">
        <v>41556</v>
      </c>
      <c r="K1396" s="6">
        <v>0.47916666666666669</v>
      </c>
      <c r="L1396" s="5"/>
      <c r="M1396" s="3" t="s">
        <v>2110</v>
      </c>
      <c r="N1396" s="3" t="s">
        <v>2110</v>
      </c>
      <c r="O1396" s="5"/>
      <c r="P1396" s="3" t="s">
        <v>74</v>
      </c>
      <c r="Q1396" s="7"/>
      <c r="R1396" s="7"/>
    </row>
    <row r="1397" spans="1:18" ht="51" x14ac:dyDescent="0.25">
      <c r="A1397" s="3" t="s">
        <v>18</v>
      </c>
      <c r="B1397" s="3">
        <v>2013</v>
      </c>
      <c r="C1397" s="3" t="s">
        <v>2058</v>
      </c>
      <c r="D1397" s="3" t="str">
        <f>"55 / 2013"</f>
        <v>55 / 2013</v>
      </c>
      <c r="E1397" s="4">
        <v>41313</v>
      </c>
      <c r="F1397" s="3" t="s">
        <v>3080</v>
      </c>
      <c r="G1397" s="5"/>
      <c r="H1397" s="3" t="s">
        <v>3081</v>
      </c>
      <c r="I1397" s="3">
        <v>4</v>
      </c>
      <c r="J1397" s="4">
        <v>41312</v>
      </c>
      <c r="K1397" s="6">
        <v>0.5</v>
      </c>
      <c r="L1397" s="5"/>
      <c r="M1397" s="3" t="s">
        <v>2061</v>
      </c>
      <c r="N1397" s="3" t="s">
        <v>2061</v>
      </c>
      <c r="O1397" s="5"/>
      <c r="P1397" s="3" t="s">
        <v>74</v>
      </c>
      <c r="Q1397" s="7"/>
      <c r="R1397" s="7"/>
    </row>
    <row r="1398" spans="1:18" ht="76.5" x14ac:dyDescent="0.25">
      <c r="A1398" s="3" t="s">
        <v>18</v>
      </c>
      <c r="B1398" s="3">
        <v>2013</v>
      </c>
      <c r="C1398" s="3" t="s">
        <v>2058</v>
      </c>
      <c r="D1398" s="3" t="str">
        <f>"550 / 2013"</f>
        <v>550 / 2013</v>
      </c>
      <c r="E1398" s="4">
        <v>41572</v>
      </c>
      <c r="F1398" s="3" t="s">
        <v>3082</v>
      </c>
      <c r="G1398" s="5"/>
      <c r="H1398" s="3" t="s">
        <v>3083</v>
      </c>
      <c r="I1398" s="3">
        <v>30</v>
      </c>
      <c r="J1398" s="4">
        <v>41556</v>
      </c>
      <c r="K1398" s="6">
        <v>0.47916666666666669</v>
      </c>
      <c r="L1398" s="5"/>
      <c r="M1398" s="3" t="s">
        <v>2110</v>
      </c>
      <c r="N1398" s="3" t="s">
        <v>2110</v>
      </c>
      <c r="O1398" s="5"/>
      <c r="P1398" s="3" t="s">
        <v>74</v>
      </c>
      <c r="Q1398" s="7"/>
      <c r="R1398" s="7"/>
    </row>
    <row r="1399" spans="1:18" ht="76.5" x14ac:dyDescent="0.25">
      <c r="A1399" s="3" t="s">
        <v>18</v>
      </c>
      <c r="B1399" s="3">
        <v>2013</v>
      </c>
      <c r="C1399" s="3" t="s">
        <v>2058</v>
      </c>
      <c r="D1399" s="3" t="str">
        <f>"551 / 2013"</f>
        <v>551 / 2013</v>
      </c>
      <c r="E1399" s="4">
        <v>41572</v>
      </c>
      <c r="F1399" s="3" t="s">
        <v>3084</v>
      </c>
      <c r="G1399" s="5"/>
      <c r="H1399" s="3" t="s">
        <v>3085</v>
      </c>
      <c r="I1399" s="3">
        <v>30</v>
      </c>
      <c r="J1399" s="4">
        <v>41556</v>
      </c>
      <c r="K1399" s="6">
        <v>0.47916666666666669</v>
      </c>
      <c r="L1399" s="5"/>
      <c r="M1399" s="3" t="s">
        <v>2110</v>
      </c>
      <c r="N1399" s="3" t="s">
        <v>2110</v>
      </c>
      <c r="O1399" s="5"/>
      <c r="P1399" s="3" t="s">
        <v>74</v>
      </c>
      <c r="Q1399" s="7"/>
      <c r="R1399" s="7"/>
    </row>
    <row r="1400" spans="1:18" ht="76.5" x14ac:dyDescent="0.25">
      <c r="A1400" s="3" t="s">
        <v>18</v>
      </c>
      <c r="B1400" s="3">
        <v>2013</v>
      </c>
      <c r="C1400" s="3" t="s">
        <v>2058</v>
      </c>
      <c r="D1400" s="3" t="str">
        <f>"552 / 2013"</f>
        <v>552 / 2013</v>
      </c>
      <c r="E1400" s="4">
        <v>41576</v>
      </c>
      <c r="F1400" s="3" t="s">
        <v>3086</v>
      </c>
      <c r="G1400" s="5"/>
      <c r="H1400" s="3" t="s">
        <v>3087</v>
      </c>
      <c r="I1400" s="3">
        <v>30</v>
      </c>
      <c r="J1400" s="4">
        <v>41556</v>
      </c>
      <c r="K1400" s="6">
        <v>0.47916666666666669</v>
      </c>
      <c r="L1400" s="5"/>
      <c r="M1400" s="3" t="s">
        <v>3088</v>
      </c>
      <c r="N1400" s="3" t="s">
        <v>3088</v>
      </c>
      <c r="O1400" s="5"/>
      <c r="P1400" s="3" t="s">
        <v>74</v>
      </c>
      <c r="Q1400" s="7"/>
      <c r="R1400" s="7"/>
    </row>
    <row r="1401" spans="1:18" ht="76.5" x14ac:dyDescent="0.25">
      <c r="A1401" s="3" t="s">
        <v>18</v>
      </c>
      <c r="B1401" s="3">
        <v>2013</v>
      </c>
      <c r="C1401" s="3" t="s">
        <v>2058</v>
      </c>
      <c r="D1401" s="3" t="str">
        <f>"553/ 2013"</f>
        <v>553/ 2013</v>
      </c>
      <c r="E1401" s="4">
        <v>41564</v>
      </c>
      <c r="F1401" s="3" t="s">
        <v>3089</v>
      </c>
      <c r="G1401" s="5"/>
      <c r="H1401" s="3" t="s">
        <v>3090</v>
      </c>
      <c r="I1401" s="3">
        <v>31</v>
      </c>
      <c r="J1401" s="4">
        <v>41561</v>
      </c>
      <c r="K1401" s="6">
        <v>0.47916666666666669</v>
      </c>
      <c r="L1401" s="3">
        <v>1</v>
      </c>
      <c r="M1401" s="3" t="s">
        <v>3091</v>
      </c>
      <c r="N1401" s="3" t="s">
        <v>3091</v>
      </c>
      <c r="O1401" s="5"/>
      <c r="P1401" s="3" t="s">
        <v>22</v>
      </c>
      <c r="Q1401" s="7"/>
      <c r="R1401" s="7"/>
    </row>
    <row r="1402" spans="1:18" ht="89.25" x14ac:dyDescent="0.25">
      <c r="A1402" s="3" t="s">
        <v>18</v>
      </c>
      <c r="B1402" s="3">
        <v>2013</v>
      </c>
      <c r="C1402" s="3" t="s">
        <v>2058</v>
      </c>
      <c r="D1402" s="3" t="str">
        <f>"554 / 2013"</f>
        <v>554 / 2013</v>
      </c>
      <c r="E1402" s="4">
        <v>41577</v>
      </c>
      <c r="F1402" s="3" t="s">
        <v>3092</v>
      </c>
      <c r="G1402" s="5"/>
      <c r="H1402" s="3" t="s">
        <v>3093</v>
      </c>
      <c r="I1402" s="3">
        <v>31</v>
      </c>
      <c r="J1402" s="4">
        <v>41561</v>
      </c>
      <c r="K1402" s="6">
        <v>0.47916666666666669</v>
      </c>
      <c r="L1402" s="3">
        <v>2</v>
      </c>
      <c r="M1402" s="3" t="s">
        <v>35</v>
      </c>
      <c r="N1402" s="3" t="s">
        <v>35</v>
      </c>
      <c r="O1402" s="5"/>
      <c r="P1402" s="3" t="s">
        <v>22</v>
      </c>
      <c r="Q1402" s="7"/>
      <c r="R1402" s="7"/>
    </row>
    <row r="1403" spans="1:18" ht="89.25" x14ac:dyDescent="0.25">
      <c r="A1403" s="3" t="s">
        <v>18</v>
      </c>
      <c r="B1403" s="3">
        <v>2013</v>
      </c>
      <c r="C1403" s="3" t="s">
        <v>2058</v>
      </c>
      <c r="D1403" s="3" t="str">
        <f>"555 / 2013"</f>
        <v>555 / 2013</v>
      </c>
      <c r="E1403" s="4">
        <v>41578</v>
      </c>
      <c r="F1403" s="3" t="s">
        <v>3094</v>
      </c>
      <c r="G1403" s="5"/>
      <c r="H1403" s="3" t="s">
        <v>3095</v>
      </c>
      <c r="I1403" s="3">
        <v>31</v>
      </c>
      <c r="J1403" s="4">
        <v>41561</v>
      </c>
      <c r="K1403" s="6">
        <v>0.47916666666666669</v>
      </c>
      <c r="L1403" s="3">
        <v>3</v>
      </c>
      <c r="M1403" s="3" t="s">
        <v>35</v>
      </c>
      <c r="N1403" s="3" t="s">
        <v>35</v>
      </c>
      <c r="O1403" s="5"/>
      <c r="P1403" s="3" t="s">
        <v>22</v>
      </c>
      <c r="Q1403" s="7"/>
      <c r="R1403" s="7"/>
    </row>
    <row r="1404" spans="1:18" ht="63.75" x14ac:dyDescent="0.25">
      <c r="A1404" s="3" t="s">
        <v>18</v>
      </c>
      <c r="B1404" s="3">
        <v>2013</v>
      </c>
      <c r="C1404" s="3" t="s">
        <v>2058</v>
      </c>
      <c r="D1404" s="3" t="str">
        <f>"556 / 2013"</f>
        <v>556 / 2013</v>
      </c>
      <c r="E1404" s="4">
        <v>41568</v>
      </c>
      <c r="F1404" s="3" t="s">
        <v>3096</v>
      </c>
      <c r="G1404" s="5"/>
      <c r="H1404" s="3" t="s">
        <v>1872</v>
      </c>
      <c r="I1404" s="3">
        <v>31</v>
      </c>
      <c r="J1404" s="4">
        <v>41561</v>
      </c>
      <c r="K1404" s="6">
        <v>0.47916666666666669</v>
      </c>
      <c r="L1404" s="3">
        <v>4</v>
      </c>
      <c r="M1404" s="3" t="s">
        <v>2519</v>
      </c>
      <c r="N1404" s="3" t="s">
        <v>2519</v>
      </c>
      <c r="O1404" s="5"/>
      <c r="P1404" s="3" t="s">
        <v>22</v>
      </c>
      <c r="Q1404" s="7"/>
      <c r="R1404" s="7"/>
    </row>
    <row r="1405" spans="1:18" ht="153" x14ac:dyDescent="0.25">
      <c r="A1405" s="3" t="s">
        <v>18</v>
      </c>
      <c r="B1405" s="3">
        <v>2013</v>
      </c>
      <c r="C1405" s="3" t="s">
        <v>2058</v>
      </c>
      <c r="D1405" s="3" t="str">
        <f>"557 / 2013"</f>
        <v>557 / 2013</v>
      </c>
      <c r="E1405" s="4">
        <v>41562</v>
      </c>
      <c r="F1405" s="3" t="s">
        <v>3097</v>
      </c>
      <c r="G1405" s="5"/>
      <c r="H1405" s="3" t="s">
        <v>3098</v>
      </c>
      <c r="I1405" s="3">
        <v>31</v>
      </c>
      <c r="J1405" s="4">
        <v>41561</v>
      </c>
      <c r="K1405" s="6">
        <v>0.47916666666666669</v>
      </c>
      <c r="L1405" s="5"/>
      <c r="M1405" s="3" t="s">
        <v>3099</v>
      </c>
      <c r="N1405" s="3" t="s">
        <v>3099</v>
      </c>
      <c r="O1405" s="5"/>
      <c r="P1405" s="3" t="s">
        <v>74</v>
      </c>
      <c r="Q1405" s="7"/>
      <c r="R1405" s="7"/>
    </row>
    <row r="1406" spans="1:18" ht="127.5" x14ac:dyDescent="0.25">
      <c r="A1406" s="3" t="s">
        <v>18</v>
      </c>
      <c r="B1406" s="3">
        <v>2013</v>
      </c>
      <c r="C1406" s="3" t="s">
        <v>2058</v>
      </c>
      <c r="D1406" s="3" t="str">
        <f>"558 / 2013"</f>
        <v>558 / 2013</v>
      </c>
      <c r="E1406" s="4">
        <v>41577</v>
      </c>
      <c r="F1406" s="3" t="s">
        <v>3100</v>
      </c>
      <c r="G1406" s="5"/>
      <c r="H1406" s="3" t="s">
        <v>3101</v>
      </c>
      <c r="I1406" s="3">
        <v>31</v>
      </c>
      <c r="J1406" s="4">
        <v>41561</v>
      </c>
      <c r="K1406" s="6">
        <v>0.47916666666666669</v>
      </c>
      <c r="L1406" s="5"/>
      <c r="M1406" s="3" t="s">
        <v>2150</v>
      </c>
      <c r="N1406" s="3" t="s">
        <v>2150</v>
      </c>
      <c r="O1406" s="5"/>
      <c r="P1406" s="3" t="s">
        <v>74</v>
      </c>
      <c r="Q1406" s="7"/>
      <c r="R1406" s="7"/>
    </row>
    <row r="1407" spans="1:18" ht="76.5" x14ac:dyDescent="0.25">
      <c r="A1407" s="3" t="s">
        <v>18</v>
      </c>
      <c r="B1407" s="3">
        <v>2013</v>
      </c>
      <c r="C1407" s="3" t="s">
        <v>2058</v>
      </c>
      <c r="D1407" s="3" t="str">
        <f>"559 / 2013"</f>
        <v>559 / 2013</v>
      </c>
      <c r="E1407" s="4">
        <v>41570</v>
      </c>
      <c r="F1407" s="3" t="s">
        <v>3102</v>
      </c>
      <c r="G1407" s="5"/>
      <c r="H1407" s="3" t="s">
        <v>3103</v>
      </c>
      <c r="I1407" s="3">
        <v>32</v>
      </c>
      <c r="J1407" s="4">
        <v>41570</v>
      </c>
      <c r="K1407" s="6">
        <v>0.47916666666666669</v>
      </c>
      <c r="L1407" s="3">
        <v>1</v>
      </c>
      <c r="M1407" s="3" t="s">
        <v>2590</v>
      </c>
      <c r="N1407" s="3" t="s">
        <v>2590</v>
      </c>
      <c r="O1407" s="5"/>
      <c r="P1407" s="3" t="s">
        <v>22</v>
      </c>
      <c r="Q1407" s="7"/>
      <c r="R1407" s="7"/>
    </row>
    <row r="1408" spans="1:18" ht="89.25" x14ac:dyDescent="0.25">
      <c r="A1408" s="3" t="s">
        <v>18</v>
      </c>
      <c r="B1408" s="3">
        <v>2013</v>
      </c>
      <c r="C1408" s="3" t="s">
        <v>2058</v>
      </c>
      <c r="D1408" s="3" t="str">
        <f>"56 / 2013"</f>
        <v>56 / 2013</v>
      </c>
      <c r="E1408" s="4">
        <v>41319</v>
      </c>
      <c r="F1408" s="3" t="s">
        <v>3104</v>
      </c>
      <c r="G1408" s="5"/>
      <c r="H1408" s="3" t="s">
        <v>3105</v>
      </c>
      <c r="I1408" s="3">
        <v>4</v>
      </c>
      <c r="J1408" s="4">
        <v>41312</v>
      </c>
      <c r="K1408" s="6">
        <v>0.5</v>
      </c>
      <c r="L1408" s="5"/>
      <c r="M1408" s="3" t="s">
        <v>35</v>
      </c>
      <c r="N1408" s="3" t="s">
        <v>35</v>
      </c>
      <c r="O1408" s="5"/>
      <c r="P1408" s="3" t="s">
        <v>74</v>
      </c>
      <c r="Q1408" s="7"/>
      <c r="R1408" s="7"/>
    </row>
    <row r="1409" spans="1:18" ht="76.5" x14ac:dyDescent="0.25">
      <c r="A1409" s="3" t="s">
        <v>18</v>
      </c>
      <c r="B1409" s="3">
        <v>2013</v>
      </c>
      <c r="C1409" s="3" t="s">
        <v>2058</v>
      </c>
      <c r="D1409" s="3" t="str">
        <f>"560 / 2013"</f>
        <v>560 / 2013</v>
      </c>
      <c r="E1409" s="4">
        <v>41570</v>
      </c>
      <c r="F1409" s="3" t="s">
        <v>3106</v>
      </c>
      <c r="G1409" s="5"/>
      <c r="H1409" s="3" t="s">
        <v>3107</v>
      </c>
      <c r="I1409" s="3">
        <v>32</v>
      </c>
      <c r="J1409" s="4">
        <v>41570</v>
      </c>
      <c r="K1409" s="6">
        <v>0.47916666666666669</v>
      </c>
      <c r="L1409" s="3">
        <v>2</v>
      </c>
      <c r="M1409" s="3" t="s">
        <v>2099</v>
      </c>
      <c r="N1409" s="3" t="s">
        <v>2099</v>
      </c>
      <c r="O1409" s="5"/>
      <c r="P1409" s="3" t="s">
        <v>22</v>
      </c>
      <c r="Q1409" s="7"/>
      <c r="R1409" s="7"/>
    </row>
    <row r="1410" spans="1:18" ht="76.5" x14ac:dyDescent="0.25">
      <c r="A1410" s="3" t="s">
        <v>18</v>
      </c>
      <c r="B1410" s="3">
        <v>2013</v>
      </c>
      <c r="C1410" s="3" t="s">
        <v>2058</v>
      </c>
      <c r="D1410" s="3" t="str">
        <f>"561 / 2013"</f>
        <v>561 / 2013</v>
      </c>
      <c r="E1410" s="4">
        <v>41571</v>
      </c>
      <c r="F1410" s="3" t="s">
        <v>3108</v>
      </c>
      <c r="G1410" s="5"/>
      <c r="H1410" s="3" t="s">
        <v>3109</v>
      </c>
      <c r="I1410" s="3">
        <v>32</v>
      </c>
      <c r="J1410" s="4">
        <v>41570</v>
      </c>
      <c r="K1410" s="6">
        <v>0.47916666666666669</v>
      </c>
      <c r="L1410" s="3">
        <v>3</v>
      </c>
      <c r="M1410" s="3" t="s">
        <v>3110</v>
      </c>
      <c r="N1410" s="3" t="s">
        <v>3110</v>
      </c>
      <c r="O1410" s="5"/>
      <c r="P1410" s="3" t="s">
        <v>22</v>
      </c>
      <c r="Q1410" s="7"/>
      <c r="R1410" s="7"/>
    </row>
    <row r="1411" spans="1:18" ht="140.25" x14ac:dyDescent="0.25">
      <c r="A1411" s="3" t="s">
        <v>18</v>
      </c>
      <c r="B1411" s="3">
        <v>2013</v>
      </c>
      <c r="C1411" s="3" t="s">
        <v>2058</v>
      </c>
      <c r="D1411" s="3" t="str">
        <f>"562 / 2013"</f>
        <v>562 / 2013</v>
      </c>
      <c r="E1411" s="4">
        <v>41583</v>
      </c>
      <c r="F1411" s="3" t="s">
        <v>3111</v>
      </c>
      <c r="G1411" s="5"/>
      <c r="H1411" s="3" t="s">
        <v>3112</v>
      </c>
      <c r="I1411" s="3">
        <v>33</v>
      </c>
      <c r="J1411" s="4">
        <v>41579</v>
      </c>
      <c r="K1411" s="6">
        <v>0.47916666666666669</v>
      </c>
      <c r="L1411" s="3">
        <v>1</v>
      </c>
      <c r="M1411" s="3" t="s">
        <v>2099</v>
      </c>
      <c r="N1411" s="3" t="s">
        <v>2099</v>
      </c>
      <c r="O1411" s="5"/>
      <c r="P1411" s="3" t="s">
        <v>22</v>
      </c>
      <c r="Q1411" s="7"/>
      <c r="R1411" s="7"/>
    </row>
    <row r="1412" spans="1:18" ht="51" x14ac:dyDescent="0.25">
      <c r="A1412" s="3" t="s">
        <v>18</v>
      </c>
      <c r="B1412" s="3">
        <v>2013</v>
      </c>
      <c r="C1412" s="3" t="s">
        <v>2058</v>
      </c>
      <c r="D1412" s="3" t="str">
        <f>"563 / 2013"</f>
        <v>563 / 2013</v>
      </c>
      <c r="E1412" s="4">
        <v>41582</v>
      </c>
      <c r="F1412" s="3" t="s">
        <v>3113</v>
      </c>
      <c r="G1412" s="5"/>
      <c r="H1412" s="3" t="s">
        <v>3114</v>
      </c>
      <c r="I1412" s="3">
        <v>33</v>
      </c>
      <c r="J1412" s="4">
        <v>41579</v>
      </c>
      <c r="K1412" s="6">
        <v>0.47916666666666669</v>
      </c>
      <c r="L1412" s="3">
        <v>2</v>
      </c>
      <c r="M1412" s="3" t="s">
        <v>2590</v>
      </c>
      <c r="N1412" s="3" t="s">
        <v>2590</v>
      </c>
      <c r="O1412" s="5"/>
      <c r="P1412" s="3" t="s">
        <v>22</v>
      </c>
      <c r="Q1412" s="7"/>
      <c r="R1412" s="7"/>
    </row>
    <row r="1413" spans="1:18" ht="76.5" x14ac:dyDescent="0.25">
      <c r="A1413" s="3" t="s">
        <v>18</v>
      </c>
      <c r="B1413" s="3">
        <v>2013</v>
      </c>
      <c r="C1413" s="3" t="s">
        <v>2058</v>
      </c>
      <c r="D1413" s="3" t="str">
        <f>"564 / 2013"</f>
        <v>564 / 2013</v>
      </c>
      <c r="E1413" s="4">
        <v>41596</v>
      </c>
      <c r="F1413" s="3" t="s">
        <v>3115</v>
      </c>
      <c r="G1413" s="5"/>
      <c r="H1413" s="3" t="s">
        <v>3116</v>
      </c>
      <c r="I1413" s="3">
        <v>33</v>
      </c>
      <c r="J1413" s="4">
        <v>41579</v>
      </c>
      <c r="K1413" s="6">
        <v>0.47916666666666669</v>
      </c>
      <c r="L1413" s="3">
        <v>3</v>
      </c>
      <c r="M1413" s="3" t="s">
        <v>2099</v>
      </c>
      <c r="N1413" s="3" t="s">
        <v>2099</v>
      </c>
      <c r="O1413" s="5"/>
      <c r="P1413" s="3" t="s">
        <v>22</v>
      </c>
      <c r="Q1413" s="7"/>
      <c r="R1413" s="7"/>
    </row>
    <row r="1414" spans="1:18" ht="102" x14ac:dyDescent="0.25">
      <c r="A1414" s="3" t="s">
        <v>18</v>
      </c>
      <c r="B1414" s="3">
        <v>2013</v>
      </c>
      <c r="C1414" s="3" t="s">
        <v>2058</v>
      </c>
      <c r="D1414" s="3" t="str">
        <f>"565 / 2013"</f>
        <v>565 / 2013</v>
      </c>
      <c r="E1414" s="4">
        <v>41589</v>
      </c>
      <c r="F1414" s="3" t="s">
        <v>3117</v>
      </c>
      <c r="G1414" s="5"/>
      <c r="H1414" s="3" t="s">
        <v>3118</v>
      </c>
      <c r="I1414" s="3">
        <v>33</v>
      </c>
      <c r="J1414" s="4">
        <v>41579</v>
      </c>
      <c r="K1414" s="6">
        <v>0.47916666666666669</v>
      </c>
      <c r="L1414" s="3">
        <v>4</v>
      </c>
      <c r="M1414" s="3" t="s">
        <v>2099</v>
      </c>
      <c r="N1414" s="3" t="s">
        <v>2099</v>
      </c>
      <c r="O1414" s="5"/>
      <c r="P1414" s="3" t="s">
        <v>22</v>
      </c>
      <c r="Q1414" s="7"/>
      <c r="R1414" s="7"/>
    </row>
    <row r="1415" spans="1:18" ht="51" x14ac:dyDescent="0.25">
      <c r="A1415" s="3" t="s">
        <v>18</v>
      </c>
      <c r="B1415" s="3">
        <v>2013</v>
      </c>
      <c r="C1415" s="3" t="s">
        <v>2058</v>
      </c>
      <c r="D1415" s="3" t="str">
        <f>"567 / 2013"</f>
        <v>567 / 2013</v>
      </c>
      <c r="E1415" s="4">
        <v>41583</v>
      </c>
      <c r="F1415" s="3" t="s">
        <v>3119</v>
      </c>
      <c r="G1415" s="5"/>
      <c r="H1415" s="3" t="s">
        <v>3120</v>
      </c>
      <c r="I1415" s="3">
        <v>33</v>
      </c>
      <c r="J1415" s="4">
        <v>41579</v>
      </c>
      <c r="K1415" s="6">
        <v>0.47916666666666669</v>
      </c>
      <c r="L1415" s="3">
        <v>6</v>
      </c>
      <c r="M1415" s="3" t="s">
        <v>2110</v>
      </c>
      <c r="N1415" s="3" t="s">
        <v>2110</v>
      </c>
      <c r="O1415" s="5"/>
      <c r="P1415" s="3" t="s">
        <v>22</v>
      </c>
      <c r="Q1415" s="7"/>
      <c r="R1415" s="7"/>
    </row>
    <row r="1416" spans="1:18" ht="63.75" x14ac:dyDescent="0.25">
      <c r="A1416" s="3" t="s">
        <v>18</v>
      </c>
      <c r="B1416" s="3">
        <v>2013</v>
      </c>
      <c r="C1416" s="3" t="s">
        <v>2058</v>
      </c>
      <c r="D1416" s="3" t="str">
        <f>"568 / 2013"</f>
        <v>568 / 2013</v>
      </c>
      <c r="E1416" s="4">
        <v>41583</v>
      </c>
      <c r="F1416" s="3" t="s">
        <v>3121</v>
      </c>
      <c r="G1416" s="5"/>
      <c r="H1416" s="3" t="s">
        <v>3122</v>
      </c>
      <c r="I1416" s="3">
        <v>33</v>
      </c>
      <c r="J1416" s="4">
        <v>41579</v>
      </c>
      <c r="K1416" s="6">
        <v>0.47916666666666669</v>
      </c>
      <c r="L1416" s="3">
        <v>7</v>
      </c>
      <c r="M1416" s="3" t="s">
        <v>2061</v>
      </c>
      <c r="N1416" s="3" t="s">
        <v>2061</v>
      </c>
      <c r="O1416" s="5"/>
      <c r="P1416" s="3" t="s">
        <v>22</v>
      </c>
      <c r="Q1416" s="7"/>
      <c r="R1416" s="7"/>
    </row>
    <row r="1417" spans="1:18" ht="51" x14ac:dyDescent="0.25">
      <c r="A1417" s="3" t="s">
        <v>18</v>
      </c>
      <c r="B1417" s="3">
        <v>2013</v>
      </c>
      <c r="C1417" s="3" t="s">
        <v>2058</v>
      </c>
      <c r="D1417" s="3" t="str">
        <f>"569 / 2013"</f>
        <v>569 / 2013</v>
      </c>
      <c r="E1417" s="4">
        <v>41583</v>
      </c>
      <c r="F1417" s="3" t="s">
        <v>3123</v>
      </c>
      <c r="G1417" s="5"/>
      <c r="H1417" s="3" t="s">
        <v>3124</v>
      </c>
      <c r="I1417" s="3">
        <v>33</v>
      </c>
      <c r="J1417" s="4">
        <v>41579</v>
      </c>
      <c r="K1417" s="6">
        <v>0.47916666666666669</v>
      </c>
      <c r="L1417" s="3">
        <v>8</v>
      </c>
      <c r="M1417" s="3" t="s">
        <v>2061</v>
      </c>
      <c r="N1417" s="3" t="s">
        <v>2061</v>
      </c>
      <c r="O1417" s="5"/>
      <c r="P1417" s="3" t="s">
        <v>22</v>
      </c>
      <c r="Q1417" s="7"/>
      <c r="R1417" s="7"/>
    </row>
    <row r="1418" spans="1:18" ht="89.25" x14ac:dyDescent="0.25">
      <c r="A1418" s="3" t="s">
        <v>18</v>
      </c>
      <c r="B1418" s="3">
        <v>2013</v>
      </c>
      <c r="C1418" s="3" t="s">
        <v>2058</v>
      </c>
      <c r="D1418" s="3" t="str">
        <f>"57 / 2013"</f>
        <v>57 / 2013</v>
      </c>
      <c r="E1418" s="4">
        <v>41318</v>
      </c>
      <c r="F1418" s="3" t="s">
        <v>3125</v>
      </c>
      <c r="G1418" s="5"/>
      <c r="H1418" s="3" t="s">
        <v>3126</v>
      </c>
      <c r="I1418" s="3">
        <v>4</v>
      </c>
      <c r="J1418" s="4">
        <v>41312</v>
      </c>
      <c r="K1418" s="6">
        <v>0.5</v>
      </c>
      <c r="L1418" s="5"/>
      <c r="M1418" s="3" t="s">
        <v>35</v>
      </c>
      <c r="N1418" s="3" t="s">
        <v>35</v>
      </c>
      <c r="O1418" s="5"/>
      <c r="P1418" s="3" t="s">
        <v>74</v>
      </c>
      <c r="Q1418" s="7"/>
      <c r="R1418" s="7"/>
    </row>
    <row r="1419" spans="1:18" ht="76.5" x14ac:dyDescent="0.25">
      <c r="A1419" s="3" t="s">
        <v>18</v>
      </c>
      <c r="B1419" s="3">
        <v>2013</v>
      </c>
      <c r="C1419" s="3" t="s">
        <v>2058</v>
      </c>
      <c r="D1419" s="3" t="str">
        <f>"570 / 2013"</f>
        <v>570 / 2013</v>
      </c>
      <c r="E1419" s="4">
        <v>41583</v>
      </c>
      <c r="F1419" s="3" t="s">
        <v>3127</v>
      </c>
      <c r="G1419" s="5"/>
      <c r="H1419" s="3" t="s">
        <v>3128</v>
      </c>
      <c r="I1419" s="3">
        <v>33</v>
      </c>
      <c r="J1419" s="4">
        <v>41579</v>
      </c>
      <c r="K1419" s="6">
        <v>0.47916666666666669</v>
      </c>
      <c r="L1419" s="3">
        <v>9</v>
      </c>
      <c r="M1419" s="3" t="s">
        <v>2099</v>
      </c>
      <c r="N1419" s="3" t="s">
        <v>2099</v>
      </c>
      <c r="O1419" s="5"/>
      <c r="P1419" s="3" t="s">
        <v>22</v>
      </c>
      <c r="Q1419" s="7"/>
      <c r="R1419" s="7"/>
    </row>
    <row r="1420" spans="1:18" ht="76.5" x14ac:dyDescent="0.25">
      <c r="A1420" s="3" t="s">
        <v>18</v>
      </c>
      <c r="B1420" s="3">
        <v>2013</v>
      </c>
      <c r="C1420" s="3" t="s">
        <v>2058</v>
      </c>
      <c r="D1420" s="3" t="str">
        <f>"571 / 2013"</f>
        <v>571 / 2013</v>
      </c>
      <c r="E1420" s="4">
        <v>41585</v>
      </c>
      <c r="F1420" s="3" t="s">
        <v>3129</v>
      </c>
      <c r="G1420" s="5"/>
      <c r="H1420" s="3" t="s">
        <v>3130</v>
      </c>
      <c r="I1420" s="3">
        <v>33</v>
      </c>
      <c r="J1420" s="4">
        <v>41579</v>
      </c>
      <c r="K1420" s="6">
        <v>0.47916666666666669</v>
      </c>
      <c r="L1420" s="3">
        <v>10</v>
      </c>
      <c r="M1420" s="3" t="s">
        <v>2110</v>
      </c>
      <c r="N1420" s="3" t="s">
        <v>2110</v>
      </c>
      <c r="O1420" s="5"/>
      <c r="P1420" s="3" t="s">
        <v>22</v>
      </c>
      <c r="Q1420" s="7"/>
      <c r="R1420" s="7"/>
    </row>
    <row r="1421" spans="1:18" ht="63.75" x14ac:dyDescent="0.25">
      <c r="A1421" s="3" t="s">
        <v>18</v>
      </c>
      <c r="B1421" s="3">
        <v>2013</v>
      </c>
      <c r="C1421" s="3" t="s">
        <v>2058</v>
      </c>
      <c r="D1421" s="3" t="str">
        <f>"572 / 2013"</f>
        <v>572 / 2013</v>
      </c>
      <c r="E1421" s="4">
        <v>41585</v>
      </c>
      <c r="F1421" s="3" t="s">
        <v>3131</v>
      </c>
      <c r="G1421" s="5"/>
      <c r="H1421" s="3" t="s">
        <v>3132</v>
      </c>
      <c r="I1421" s="3">
        <v>33</v>
      </c>
      <c r="J1421" s="4">
        <v>41579</v>
      </c>
      <c r="K1421" s="6">
        <v>0.47916666666666669</v>
      </c>
      <c r="L1421" s="3">
        <v>11</v>
      </c>
      <c r="M1421" s="3" t="s">
        <v>2280</v>
      </c>
      <c r="N1421" s="3" t="s">
        <v>2280</v>
      </c>
      <c r="O1421" s="5"/>
      <c r="P1421" s="3" t="s">
        <v>22</v>
      </c>
      <c r="Q1421" s="7"/>
      <c r="R1421" s="7"/>
    </row>
    <row r="1422" spans="1:18" ht="51" x14ac:dyDescent="0.25">
      <c r="A1422" s="3" t="s">
        <v>18</v>
      </c>
      <c r="B1422" s="3">
        <v>2013</v>
      </c>
      <c r="C1422" s="3" t="s">
        <v>2058</v>
      </c>
      <c r="D1422" s="3" t="str">
        <f>"573 / 2013"</f>
        <v>573 / 2013</v>
      </c>
      <c r="E1422" s="4">
        <v>41585</v>
      </c>
      <c r="F1422" s="3" t="s">
        <v>3133</v>
      </c>
      <c r="G1422" s="5"/>
      <c r="H1422" s="3" t="s">
        <v>3134</v>
      </c>
      <c r="I1422" s="3">
        <v>33</v>
      </c>
      <c r="J1422" s="4">
        <v>41579</v>
      </c>
      <c r="K1422" s="6">
        <v>0.47916666666666669</v>
      </c>
      <c r="L1422" s="3">
        <v>12</v>
      </c>
      <c r="M1422" s="3" t="s">
        <v>2110</v>
      </c>
      <c r="N1422" s="3" t="s">
        <v>2110</v>
      </c>
      <c r="O1422" s="5"/>
      <c r="P1422" s="3" t="s">
        <v>22</v>
      </c>
      <c r="Q1422" s="7"/>
      <c r="R1422" s="7"/>
    </row>
    <row r="1423" spans="1:18" ht="140.25" x14ac:dyDescent="0.25">
      <c r="A1423" s="3" t="s">
        <v>18</v>
      </c>
      <c r="B1423" s="3">
        <v>2013</v>
      </c>
      <c r="C1423" s="3" t="s">
        <v>2058</v>
      </c>
      <c r="D1423" s="3" t="str">
        <f>"574 / 2012"</f>
        <v>574 / 2012</v>
      </c>
      <c r="E1423" s="4">
        <v>41292</v>
      </c>
      <c r="F1423" s="3" t="s">
        <v>3135</v>
      </c>
      <c r="G1423" s="5"/>
      <c r="H1423" s="3" t="s">
        <v>3136</v>
      </c>
      <c r="I1423" s="3">
        <v>34</v>
      </c>
      <c r="J1423" s="4">
        <v>41228</v>
      </c>
      <c r="K1423" s="6">
        <v>0.5</v>
      </c>
      <c r="L1423" s="3">
        <v>14</v>
      </c>
      <c r="M1423" s="5"/>
      <c r="N1423" s="3" t="s">
        <v>3137</v>
      </c>
      <c r="O1423" s="5"/>
      <c r="P1423" s="3" t="s">
        <v>22</v>
      </c>
      <c r="Q1423" s="7"/>
      <c r="R1423" s="7"/>
    </row>
    <row r="1424" spans="1:18" ht="76.5" x14ac:dyDescent="0.25">
      <c r="A1424" s="3" t="s">
        <v>18</v>
      </c>
      <c r="B1424" s="3">
        <v>2013</v>
      </c>
      <c r="C1424" s="3" t="s">
        <v>2058</v>
      </c>
      <c r="D1424" s="3" t="str">
        <f>"574 / 2013"</f>
        <v>574 / 2013</v>
      </c>
      <c r="E1424" s="4">
        <v>41582</v>
      </c>
      <c r="F1424" s="3" t="s">
        <v>3138</v>
      </c>
      <c r="G1424" s="5"/>
      <c r="H1424" s="3" t="s">
        <v>3139</v>
      </c>
      <c r="I1424" s="3">
        <v>33</v>
      </c>
      <c r="J1424" s="4">
        <v>41579</v>
      </c>
      <c r="K1424" s="6">
        <v>0.47916666666666669</v>
      </c>
      <c r="L1424" s="3">
        <v>13</v>
      </c>
      <c r="M1424" s="3" t="s">
        <v>3140</v>
      </c>
      <c r="N1424" s="3" t="s">
        <v>3140</v>
      </c>
      <c r="O1424" s="5"/>
      <c r="P1424" s="3" t="s">
        <v>22</v>
      </c>
      <c r="Q1424" s="7"/>
      <c r="R1424" s="7"/>
    </row>
    <row r="1425" spans="1:18" ht="76.5" x14ac:dyDescent="0.25">
      <c r="A1425" s="3" t="s">
        <v>18</v>
      </c>
      <c r="B1425" s="3">
        <v>2013</v>
      </c>
      <c r="C1425" s="3" t="s">
        <v>2058</v>
      </c>
      <c r="D1425" s="3" t="str">
        <f>"575 / 2013"</f>
        <v>575 / 2013</v>
      </c>
      <c r="E1425" s="4">
        <v>41582</v>
      </c>
      <c r="F1425" s="3" t="s">
        <v>3141</v>
      </c>
      <c r="G1425" s="5"/>
      <c r="H1425" s="3" t="s">
        <v>3142</v>
      </c>
      <c r="I1425" s="3">
        <v>33</v>
      </c>
      <c r="J1425" s="4">
        <v>41579</v>
      </c>
      <c r="K1425" s="6">
        <v>0.47916666666666669</v>
      </c>
      <c r="L1425" s="3">
        <v>14</v>
      </c>
      <c r="M1425" s="3" t="s">
        <v>2064</v>
      </c>
      <c r="N1425" s="3" t="s">
        <v>2064</v>
      </c>
      <c r="O1425" s="5"/>
      <c r="P1425" s="3" t="s">
        <v>22</v>
      </c>
      <c r="Q1425" s="7"/>
      <c r="R1425" s="7"/>
    </row>
    <row r="1426" spans="1:18" ht="102" x14ac:dyDescent="0.25">
      <c r="A1426" s="3" t="s">
        <v>18</v>
      </c>
      <c r="B1426" s="3">
        <v>2013</v>
      </c>
      <c r="C1426" s="3" t="s">
        <v>2058</v>
      </c>
      <c r="D1426" s="3" t="str">
        <f>"576 / 2013"</f>
        <v>576 / 2013</v>
      </c>
      <c r="E1426" s="4">
        <v>41585</v>
      </c>
      <c r="F1426" s="3" t="s">
        <v>3143</v>
      </c>
      <c r="G1426" s="5"/>
      <c r="H1426" s="3" t="s">
        <v>3144</v>
      </c>
      <c r="I1426" s="3">
        <v>33</v>
      </c>
      <c r="J1426" s="4">
        <v>41579</v>
      </c>
      <c r="K1426" s="6">
        <v>0.47916666666666669</v>
      </c>
      <c r="L1426" s="3">
        <v>15</v>
      </c>
      <c r="M1426" s="3" t="s">
        <v>2099</v>
      </c>
      <c r="N1426" s="3" t="s">
        <v>2099</v>
      </c>
      <c r="O1426" s="5"/>
      <c r="P1426" s="3" t="s">
        <v>22</v>
      </c>
      <c r="Q1426" s="7"/>
      <c r="R1426" s="7"/>
    </row>
    <row r="1427" spans="1:18" ht="76.5" x14ac:dyDescent="0.25">
      <c r="A1427" s="3" t="s">
        <v>18</v>
      </c>
      <c r="B1427" s="3">
        <v>2013</v>
      </c>
      <c r="C1427" s="3" t="s">
        <v>2058</v>
      </c>
      <c r="D1427" s="3" t="str">
        <f>"577 / 2013"</f>
        <v>577 / 2013</v>
      </c>
      <c r="E1427" s="4">
        <v>41583</v>
      </c>
      <c r="F1427" s="3" t="s">
        <v>3145</v>
      </c>
      <c r="G1427" s="5"/>
      <c r="H1427" s="3" t="s">
        <v>3146</v>
      </c>
      <c r="I1427" s="3">
        <v>33</v>
      </c>
      <c r="J1427" s="4">
        <v>41579</v>
      </c>
      <c r="K1427" s="6">
        <v>0.47916666666666669</v>
      </c>
      <c r="L1427" s="3">
        <v>16</v>
      </c>
      <c r="M1427" s="3" t="s">
        <v>2590</v>
      </c>
      <c r="N1427" s="3" t="s">
        <v>2590</v>
      </c>
      <c r="O1427" s="5"/>
      <c r="P1427" s="3" t="s">
        <v>22</v>
      </c>
      <c r="Q1427" s="7"/>
      <c r="R1427" s="7"/>
    </row>
    <row r="1428" spans="1:18" ht="51" x14ac:dyDescent="0.25">
      <c r="A1428" s="3" t="s">
        <v>18</v>
      </c>
      <c r="B1428" s="3">
        <v>2013</v>
      </c>
      <c r="C1428" s="3" t="s">
        <v>2058</v>
      </c>
      <c r="D1428" s="3" t="str">
        <f>"578 / 2013"</f>
        <v>578 / 2013</v>
      </c>
      <c r="E1428" s="4">
        <v>41586</v>
      </c>
      <c r="F1428" s="3" t="s">
        <v>3147</v>
      </c>
      <c r="G1428" s="5"/>
      <c r="H1428" s="3" t="s">
        <v>3148</v>
      </c>
      <c r="I1428" s="3">
        <v>33</v>
      </c>
      <c r="J1428" s="4">
        <v>41579</v>
      </c>
      <c r="K1428" s="6">
        <v>0.47916666666666669</v>
      </c>
      <c r="L1428" s="3">
        <v>17</v>
      </c>
      <c r="M1428" s="3" t="s">
        <v>2105</v>
      </c>
      <c r="N1428" s="3" t="s">
        <v>2105</v>
      </c>
      <c r="O1428" s="5"/>
      <c r="P1428" s="3" t="s">
        <v>22</v>
      </c>
      <c r="Q1428" s="7"/>
      <c r="R1428" s="7"/>
    </row>
    <row r="1429" spans="1:18" ht="51" x14ac:dyDescent="0.25">
      <c r="A1429" s="3" t="s">
        <v>18</v>
      </c>
      <c r="B1429" s="3">
        <v>2013</v>
      </c>
      <c r="C1429" s="3" t="s">
        <v>2058</v>
      </c>
      <c r="D1429" s="3" t="str">
        <f>"579 / 2013"</f>
        <v>579 / 2013</v>
      </c>
      <c r="E1429" s="4">
        <v>41579</v>
      </c>
      <c r="F1429" s="3" t="s">
        <v>3149</v>
      </c>
      <c r="G1429" s="5"/>
      <c r="H1429" s="3" t="s">
        <v>3150</v>
      </c>
      <c r="I1429" s="3">
        <v>33</v>
      </c>
      <c r="J1429" s="4">
        <v>41579</v>
      </c>
      <c r="K1429" s="6">
        <v>0.47916666666666669</v>
      </c>
      <c r="L1429" s="3">
        <v>18</v>
      </c>
      <c r="M1429" s="3" t="s">
        <v>2437</v>
      </c>
      <c r="N1429" s="3" t="s">
        <v>2437</v>
      </c>
      <c r="O1429" s="5"/>
      <c r="P1429" s="3" t="s">
        <v>22</v>
      </c>
      <c r="Q1429" s="7"/>
      <c r="R1429" s="7"/>
    </row>
    <row r="1430" spans="1:18" ht="89.25" x14ac:dyDescent="0.25">
      <c r="A1430" s="3" t="s">
        <v>18</v>
      </c>
      <c r="B1430" s="3">
        <v>2013</v>
      </c>
      <c r="C1430" s="3" t="s">
        <v>2058</v>
      </c>
      <c r="D1430" s="3" t="str">
        <f>"58 / 2013"</f>
        <v>58 / 2013</v>
      </c>
      <c r="E1430" s="4">
        <v>41313</v>
      </c>
      <c r="F1430" s="3" t="s">
        <v>3151</v>
      </c>
      <c r="G1430" s="5"/>
      <c r="H1430" s="3" t="s">
        <v>3152</v>
      </c>
      <c r="I1430" s="3">
        <v>4</v>
      </c>
      <c r="J1430" s="4">
        <v>41312</v>
      </c>
      <c r="K1430" s="6">
        <v>0.5</v>
      </c>
      <c r="L1430" s="5"/>
      <c r="M1430" s="3" t="s">
        <v>2595</v>
      </c>
      <c r="N1430" s="3" t="s">
        <v>2595</v>
      </c>
      <c r="O1430" s="5"/>
      <c r="P1430" s="3" t="s">
        <v>74</v>
      </c>
      <c r="Q1430" s="7"/>
      <c r="R1430" s="7"/>
    </row>
    <row r="1431" spans="1:18" ht="89.25" x14ac:dyDescent="0.25">
      <c r="A1431" s="3" t="s">
        <v>18</v>
      </c>
      <c r="B1431" s="3">
        <v>2013</v>
      </c>
      <c r="C1431" s="3" t="s">
        <v>2058</v>
      </c>
      <c r="D1431" s="3" t="str">
        <f>"580 / 2013"</f>
        <v>580 / 2013</v>
      </c>
      <c r="E1431" s="4">
        <v>41589</v>
      </c>
      <c r="F1431" s="3" t="s">
        <v>3153</v>
      </c>
      <c r="G1431" s="5"/>
      <c r="H1431" s="3" t="s">
        <v>3154</v>
      </c>
      <c r="I1431" s="3">
        <v>33</v>
      </c>
      <c r="J1431" s="4">
        <v>41579</v>
      </c>
      <c r="K1431" s="6">
        <v>0.47916666666666669</v>
      </c>
      <c r="L1431" s="3">
        <v>19</v>
      </c>
      <c r="M1431" s="3" t="s">
        <v>3155</v>
      </c>
      <c r="N1431" s="3" t="s">
        <v>3155</v>
      </c>
      <c r="O1431" s="5"/>
      <c r="P1431" s="3" t="s">
        <v>22</v>
      </c>
      <c r="Q1431" s="7"/>
      <c r="R1431" s="7"/>
    </row>
    <row r="1432" spans="1:18" ht="51" x14ac:dyDescent="0.25">
      <c r="A1432" s="3" t="s">
        <v>18</v>
      </c>
      <c r="B1432" s="3">
        <v>2013</v>
      </c>
      <c r="C1432" s="3" t="s">
        <v>2058</v>
      </c>
      <c r="D1432" s="3" t="str">
        <f>"581 / 2013"</f>
        <v>581 / 2013</v>
      </c>
      <c r="E1432" s="4">
        <v>41583</v>
      </c>
      <c r="F1432" s="3" t="s">
        <v>3156</v>
      </c>
      <c r="G1432" s="5"/>
      <c r="H1432" s="3" t="s">
        <v>3157</v>
      </c>
      <c r="I1432" s="3">
        <v>33</v>
      </c>
      <c r="J1432" s="4">
        <v>41579</v>
      </c>
      <c r="K1432" s="6">
        <v>0.47916666666666669</v>
      </c>
      <c r="L1432" s="3">
        <v>20</v>
      </c>
      <c r="M1432" s="3" t="s">
        <v>2442</v>
      </c>
      <c r="N1432" s="3" t="s">
        <v>2442</v>
      </c>
      <c r="O1432" s="5"/>
      <c r="P1432" s="3" t="s">
        <v>22</v>
      </c>
      <c r="Q1432" s="7"/>
      <c r="R1432" s="7"/>
    </row>
    <row r="1433" spans="1:18" ht="51" x14ac:dyDescent="0.25">
      <c r="A1433" s="3" t="s">
        <v>18</v>
      </c>
      <c r="B1433" s="3">
        <v>2013</v>
      </c>
      <c r="C1433" s="3" t="s">
        <v>2058</v>
      </c>
      <c r="D1433" s="3" t="str">
        <f>"582 / 2013"</f>
        <v>582 / 2013</v>
      </c>
      <c r="E1433" s="4">
        <v>41586</v>
      </c>
      <c r="F1433" s="3" t="s">
        <v>3158</v>
      </c>
      <c r="G1433" s="5"/>
      <c r="H1433" s="3" t="s">
        <v>3159</v>
      </c>
      <c r="I1433" s="3">
        <v>33</v>
      </c>
      <c r="J1433" s="4">
        <v>41579</v>
      </c>
      <c r="K1433" s="6">
        <v>0.47916666666666669</v>
      </c>
      <c r="L1433" s="3">
        <v>21</v>
      </c>
      <c r="M1433" s="3" t="s">
        <v>2442</v>
      </c>
      <c r="N1433" s="3" t="s">
        <v>2442</v>
      </c>
      <c r="O1433" s="5"/>
      <c r="P1433" s="3" t="s">
        <v>22</v>
      </c>
      <c r="Q1433" s="7"/>
      <c r="R1433" s="7"/>
    </row>
    <row r="1434" spans="1:18" ht="165.75" x14ac:dyDescent="0.25">
      <c r="A1434" s="3" t="s">
        <v>18</v>
      </c>
      <c r="B1434" s="3">
        <v>2013</v>
      </c>
      <c r="C1434" s="3" t="s">
        <v>2058</v>
      </c>
      <c r="D1434" s="3" t="str">
        <f>"583 / 2013"</f>
        <v>583 / 2013</v>
      </c>
      <c r="E1434" s="4">
        <v>41589</v>
      </c>
      <c r="F1434" s="3" t="s">
        <v>3160</v>
      </c>
      <c r="G1434" s="5"/>
      <c r="H1434" s="3" t="s">
        <v>3161</v>
      </c>
      <c r="I1434" s="3">
        <v>33</v>
      </c>
      <c r="J1434" s="4">
        <v>41579</v>
      </c>
      <c r="K1434" s="6">
        <v>0.47916666666666669</v>
      </c>
      <c r="L1434" s="3">
        <v>22</v>
      </c>
      <c r="M1434" s="3" t="s">
        <v>2110</v>
      </c>
      <c r="N1434" s="3" t="s">
        <v>2110</v>
      </c>
      <c r="O1434" s="5"/>
      <c r="P1434" s="3" t="s">
        <v>22</v>
      </c>
      <c r="Q1434" s="7"/>
      <c r="R1434" s="7"/>
    </row>
    <row r="1435" spans="1:18" ht="102" x14ac:dyDescent="0.25">
      <c r="A1435" s="3" t="s">
        <v>18</v>
      </c>
      <c r="B1435" s="3">
        <v>2013</v>
      </c>
      <c r="C1435" s="3" t="s">
        <v>2058</v>
      </c>
      <c r="D1435" s="3" t="str">
        <f>"584 / 2013"</f>
        <v>584 / 2013</v>
      </c>
      <c r="E1435" s="4">
        <v>41583</v>
      </c>
      <c r="F1435" s="3" t="s">
        <v>3162</v>
      </c>
      <c r="G1435" s="5"/>
      <c r="H1435" s="3" t="s">
        <v>3163</v>
      </c>
      <c r="I1435" s="3">
        <v>33</v>
      </c>
      <c r="J1435" s="4">
        <v>41579</v>
      </c>
      <c r="K1435" s="6">
        <v>0.47916666666666669</v>
      </c>
      <c r="L1435" s="3">
        <v>23</v>
      </c>
      <c r="M1435" s="3" t="s">
        <v>2099</v>
      </c>
      <c r="N1435" s="3" t="s">
        <v>2099</v>
      </c>
      <c r="O1435" s="5"/>
      <c r="P1435" s="3" t="s">
        <v>22</v>
      </c>
      <c r="Q1435" s="7"/>
      <c r="R1435" s="7"/>
    </row>
    <row r="1436" spans="1:18" ht="51" x14ac:dyDescent="0.25">
      <c r="A1436" s="3" t="s">
        <v>18</v>
      </c>
      <c r="B1436" s="3">
        <v>2013</v>
      </c>
      <c r="C1436" s="3" t="s">
        <v>2058</v>
      </c>
      <c r="D1436" s="3" t="str">
        <f>"585 / 2013"</f>
        <v>585 / 2013</v>
      </c>
      <c r="E1436" s="4">
        <v>41585</v>
      </c>
      <c r="F1436" s="3" t="s">
        <v>3164</v>
      </c>
      <c r="G1436" s="5"/>
      <c r="H1436" s="3" t="s">
        <v>3165</v>
      </c>
      <c r="I1436" s="3">
        <v>33</v>
      </c>
      <c r="J1436" s="4">
        <v>41579</v>
      </c>
      <c r="K1436" s="6">
        <v>0.47916666666666669</v>
      </c>
      <c r="L1436" s="3">
        <v>24</v>
      </c>
      <c r="M1436" s="3" t="s">
        <v>2064</v>
      </c>
      <c r="N1436" s="3" t="s">
        <v>2064</v>
      </c>
      <c r="O1436" s="5"/>
      <c r="P1436" s="3" t="s">
        <v>22</v>
      </c>
      <c r="Q1436" s="7"/>
      <c r="R1436" s="7"/>
    </row>
    <row r="1437" spans="1:18" ht="102" x14ac:dyDescent="0.25">
      <c r="A1437" s="3" t="s">
        <v>18</v>
      </c>
      <c r="B1437" s="3">
        <v>2013</v>
      </c>
      <c r="C1437" s="3" t="s">
        <v>2058</v>
      </c>
      <c r="D1437" s="3" t="str">
        <f>"586 / 2013"</f>
        <v>586 / 2013</v>
      </c>
      <c r="E1437" s="4">
        <v>41586</v>
      </c>
      <c r="F1437" s="3" t="s">
        <v>3166</v>
      </c>
      <c r="G1437" s="5"/>
      <c r="H1437" s="3" t="s">
        <v>3167</v>
      </c>
      <c r="I1437" s="3">
        <v>33</v>
      </c>
      <c r="J1437" s="4">
        <v>41579</v>
      </c>
      <c r="K1437" s="6">
        <v>0.47916666666666669</v>
      </c>
      <c r="L1437" s="3">
        <v>25</v>
      </c>
      <c r="M1437" s="3" t="s">
        <v>2110</v>
      </c>
      <c r="N1437" s="3" t="s">
        <v>2110</v>
      </c>
      <c r="O1437" s="5"/>
      <c r="P1437" s="3" t="s">
        <v>22</v>
      </c>
      <c r="Q1437" s="7"/>
      <c r="R1437" s="7"/>
    </row>
    <row r="1438" spans="1:18" ht="127.5" x14ac:dyDescent="0.25">
      <c r="A1438" s="3" t="s">
        <v>18</v>
      </c>
      <c r="B1438" s="3">
        <v>2013</v>
      </c>
      <c r="C1438" s="3" t="s">
        <v>2058</v>
      </c>
      <c r="D1438" s="3" t="str">
        <f>"589 / 2012"</f>
        <v>589 / 2012</v>
      </c>
      <c r="E1438" s="4">
        <v>41295</v>
      </c>
      <c r="F1438" s="3" t="s">
        <v>3168</v>
      </c>
      <c r="G1438" s="5"/>
      <c r="H1438" s="3" t="s">
        <v>3169</v>
      </c>
      <c r="I1438" s="3">
        <v>34</v>
      </c>
      <c r="J1438" s="4">
        <v>41228</v>
      </c>
      <c r="K1438" s="6">
        <v>0.5</v>
      </c>
      <c r="L1438" s="3">
        <v>29</v>
      </c>
      <c r="M1438" s="5"/>
      <c r="N1438" s="3" t="s">
        <v>2110</v>
      </c>
      <c r="O1438" s="5"/>
      <c r="P1438" s="3" t="s">
        <v>22</v>
      </c>
      <c r="Q1438" s="7"/>
      <c r="R1438" s="7"/>
    </row>
    <row r="1439" spans="1:18" ht="140.25" x14ac:dyDescent="0.25">
      <c r="A1439" s="3" t="s">
        <v>18</v>
      </c>
      <c r="B1439" s="3">
        <v>2013</v>
      </c>
      <c r="C1439" s="3" t="s">
        <v>2058</v>
      </c>
      <c r="D1439" s="3" t="str">
        <f>"589 / 2013"</f>
        <v>589 / 2013</v>
      </c>
      <c r="E1439" s="4">
        <v>41586</v>
      </c>
      <c r="F1439" s="3" t="s">
        <v>3170</v>
      </c>
      <c r="G1439" s="5"/>
      <c r="H1439" s="3" t="s">
        <v>3171</v>
      </c>
      <c r="I1439" s="3">
        <v>33</v>
      </c>
      <c r="J1439" s="4">
        <v>41579</v>
      </c>
      <c r="K1439" s="6">
        <v>0.47916666666666669</v>
      </c>
      <c r="L1439" s="3">
        <v>28</v>
      </c>
      <c r="M1439" s="3" t="s">
        <v>2074</v>
      </c>
      <c r="N1439" s="3" t="s">
        <v>2074</v>
      </c>
      <c r="O1439" s="5"/>
      <c r="P1439" s="3" t="s">
        <v>22</v>
      </c>
      <c r="Q1439" s="7"/>
      <c r="R1439" s="7"/>
    </row>
    <row r="1440" spans="1:18" ht="63.75" x14ac:dyDescent="0.25">
      <c r="A1440" s="3" t="s">
        <v>18</v>
      </c>
      <c r="B1440" s="3">
        <v>2013</v>
      </c>
      <c r="C1440" s="3" t="s">
        <v>2058</v>
      </c>
      <c r="D1440" s="3" t="str">
        <f>"59 / 2013"</f>
        <v>59 / 2013</v>
      </c>
      <c r="E1440" s="4">
        <v>41317</v>
      </c>
      <c r="F1440" s="3" t="s">
        <v>3172</v>
      </c>
      <c r="G1440" s="5"/>
      <c r="H1440" s="3" t="s">
        <v>3173</v>
      </c>
      <c r="I1440" s="3">
        <v>4</v>
      </c>
      <c r="J1440" s="4">
        <v>41312</v>
      </c>
      <c r="K1440" s="6">
        <v>0.5</v>
      </c>
      <c r="L1440" s="5"/>
      <c r="M1440" s="3" t="s">
        <v>2061</v>
      </c>
      <c r="N1440" s="3" t="s">
        <v>2061</v>
      </c>
      <c r="O1440" s="5"/>
      <c r="P1440" s="3" t="s">
        <v>74</v>
      </c>
      <c r="Q1440" s="7"/>
      <c r="R1440" s="7"/>
    </row>
    <row r="1441" spans="1:18" ht="76.5" x14ac:dyDescent="0.25">
      <c r="A1441" s="3" t="s">
        <v>18</v>
      </c>
      <c r="B1441" s="3">
        <v>2013</v>
      </c>
      <c r="C1441" s="3" t="s">
        <v>2058</v>
      </c>
      <c r="D1441" s="3" t="str">
        <f>"590 / 2013"</f>
        <v>590 / 2013</v>
      </c>
      <c r="E1441" s="4">
        <v>41586</v>
      </c>
      <c r="F1441" s="3" t="s">
        <v>3174</v>
      </c>
      <c r="G1441" s="5"/>
      <c r="H1441" s="3" t="s">
        <v>3175</v>
      </c>
      <c r="I1441" s="3">
        <v>33</v>
      </c>
      <c r="J1441" s="4">
        <v>41579</v>
      </c>
      <c r="K1441" s="6">
        <v>0.47916666666666669</v>
      </c>
      <c r="L1441" s="3">
        <v>29</v>
      </c>
      <c r="M1441" s="3" t="s">
        <v>2110</v>
      </c>
      <c r="N1441" s="3" t="s">
        <v>2110</v>
      </c>
      <c r="O1441" s="5"/>
      <c r="P1441" s="3" t="s">
        <v>22</v>
      </c>
      <c r="Q1441" s="7"/>
      <c r="R1441" s="7"/>
    </row>
    <row r="1442" spans="1:18" ht="76.5" x14ac:dyDescent="0.25">
      <c r="A1442" s="3" t="s">
        <v>18</v>
      </c>
      <c r="B1442" s="3">
        <v>2013</v>
      </c>
      <c r="C1442" s="3" t="s">
        <v>2058</v>
      </c>
      <c r="D1442" s="3" t="str">
        <f>"591 / 2013"</f>
        <v>591 / 2013</v>
      </c>
      <c r="E1442" s="4">
        <v>41585</v>
      </c>
      <c r="F1442" s="3" t="s">
        <v>3176</v>
      </c>
      <c r="G1442" s="5"/>
      <c r="H1442" s="3" t="s">
        <v>3177</v>
      </c>
      <c r="I1442" s="3">
        <v>33</v>
      </c>
      <c r="J1442" s="4">
        <v>41579</v>
      </c>
      <c r="K1442" s="6">
        <v>0.47916666666666669</v>
      </c>
      <c r="L1442" s="3">
        <v>30</v>
      </c>
      <c r="M1442" s="3" t="s">
        <v>2110</v>
      </c>
      <c r="N1442" s="3" t="s">
        <v>2110</v>
      </c>
      <c r="O1442" s="5"/>
      <c r="P1442" s="3" t="s">
        <v>22</v>
      </c>
      <c r="Q1442" s="7"/>
      <c r="R1442" s="7"/>
    </row>
    <row r="1443" spans="1:18" ht="63.75" x14ac:dyDescent="0.25">
      <c r="A1443" s="3" t="s">
        <v>18</v>
      </c>
      <c r="B1443" s="3">
        <v>2013</v>
      </c>
      <c r="C1443" s="3" t="s">
        <v>2058</v>
      </c>
      <c r="D1443" s="3" t="str">
        <f>"593 / 2013"</f>
        <v>593 / 2013</v>
      </c>
      <c r="E1443" s="4">
        <v>41583</v>
      </c>
      <c r="F1443" s="3" t="s">
        <v>3178</v>
      </c>
      <c r="G1443" s="5"/>
      <c r="H1443" s="3" t="s">
        <v>3179</v>
      </c>
      <c r="I1443" s="3">
        <v>33</v>
      </c>
      <c r="J1443" s="4">
        <v>41579</v>
      </c>
      <c r="K1443" s="6">
        <v>0.47916666666666669</v>
      </c>
      <c r="L1443" s="3">
        <v>32</v>
      </c>
      <c r="M1443" s="3" t="s">
        <v>2110</v>
      </c>
      <c r="N1443" s="3" t="s">
        <v>2110</v>
      </c>
      <c r="O1443" s="5"/>
      <c r="P1443" s="3" t="s">
        <v>22</v>
      </c>
      <c r="Q1443" s="7"/>
      <c r="R1443" s="7"/>
    </row>
    <row r="1444" spans="1:18" ht="63.75" x14ac:dyDescent="0.25">
      <c r="A1444" s="3" t="s">
        <v>18</v>
      </c>
      <c r="B1444" s="3">
        <v>2013</v>
      </c>
      <c r="C1444" s="3" t="s">
        <v>2058</v>
      </c>
      <c r="D1444" s="3" t="str">
        <f>"594 / 2013"</f>
        <v>594 / 2013</v>
      </c>
      <c r="E1444" s="4">
        <v>41583</v>
      </c>
      <c r="F1444" s="3" t="s">
        <v>3180</v>
      </c>
      <c r="G1444" s="5"/>
      <c r="H1444" s="3" t="s">
        <v>3181</v>
      </c>
      <c r="I1444" s="3">
        <v>33</v>
      </c>
      <c r="J1444" s="4">
        <v>41579</v>
      </c>
      <c r="K1444" s="6">
        <v>0.47916666666666669</v>
      </c>
      <c r="L1444" s="3">
        <v>33</v>
      </c>
      <c r="M1444" s="3" t="s">
        <v>2110</v>
      </c>
      <c r="N1444" s="3" t="s">
        <v>2110</v>
      </c>
      <c r="O1444" s="5"/>
      <c r="P1444" s="3" t="s">
        <v>22</v>
      </c>
      <c r="Q1444" s="7"/>
      <c r="R1444" s="7"/>
    </row>
    <row r="1445" spans="1:18" ht="76.5" x14ac:dyDescent="0.25">
      <c r="A1445" s="3" t="s">
        <v>18</v>
      </c>
      <c r="B1445" s="3">
        <v>2013</v>
      </c>
      <c r="C1445" s="3" t="s">
        <v>2058</v>
      </c>
      <c r="D1445" s="3" t="str">
        <f>"595 / 2013"</f>
        <v>595 / 2013</v>
      </c>
      <c r="E1445" s="4">
        <v>41583</v>
      </c>
      <c r="F1445" s="3" t="s">
        <v>3182</v>
      </c>
      <c r="G1445" s="5"/>
      <c r="H1445" s="3" t="s">
        <v>3183</v>
      </c>
      <c r="I1445" s="3">
        <v>33</v>
      </c>
      <c r="J1445" s="4">
        <v>41579</v>
      </c>
      <c r="K1445" s="6">
        <v>0.47916666666666669</v>
      </c>
      <c r="L1445" s="3">
        <v>34</v>
      </c>
      <c r="M1445" s="3" t="s">
        <v>2110</v>
      </c>
      <c r="N1445" s="3" t="s">
        <v>2110</v>
      </c>
      <c r="O1445" s="5"/>
      <c r="P1445" s="3" t="s">
        <v>22</v>
      </c>
      <c r="Q1445" s="7"/>
      <c r="R1445" s="7"/>
    </row>
    <row r="1446" spans="1:18" ht="153" x14ac:dyDescent="0.25">
      <c r="A1446" s="3" t="s">
        <v>18</v>
      </c>
      <c r="B1446" s="3">
        <v>2013</v>
      </c>
      <c r="C1446" s="3" t="s">
        <v>2058</v>
      </c>
      <c r="D1446" s="3" t="str">
        <f>"596 / 2013"</f>
        <v>596 / 2013</v>
      </c>
      <c r="E1446" s="4">
        <v>41583</v>
      </c>
      <c r="F1446" s="3" t="s">
        <v>3184</v>
      </c>
      <c r="G1446" s="5"/>
      <c r="H1446" s="3" t="s">
        <v>3185</v>
      </c>
      <c r="I1446" s="3">
        <v>33</v>
      </c>
      <c r="J1446" s="4">
        <v>41579</v>
      </c>
      <c r="K1446" s="6">
        <v>0.47916666666666669</v>
      </c>
      <c r="L1446" s="5"/>
      <c r="M1446" s="3" t="s">
        <v>2099</v>
      </c>
      <c r="N1446" s="3" t="s">
        <v>2099</v>
      </c>
      <c r="O1446" s="5"/>
      <c r="P1446" s="3" t="s">
        <v>74</v>
      </c>
      <c r="Q1446" s="7"/>
      <c r="R1446" s="7"/>
    </row>
    <row r="1447" spans="1:18" ht="89.25" x14ac:dyDescent="0.25">
      <c r="A1447" s="3" t="s">
        <v>18</v>
      </c>
      <c r="B1447" s="3">
        <v>2013</v>
      </c>
      <c r="C1447" s="3" t="s">
        <v>2058</v>
      </c>
      <c r="D1447" s="3" t="str">
        <f>"597 / 2013"</f>
        <v>597 / 2013</v>
      </c>
      <c r="E1447" s="4">
        <v>41589</v>
      </c>
      <c r="F1447" s="3" t="s">
        <v>3186</v>
      </c>
      <c r="G1447" s="5"/>
      <c r="H1447" s="3" t="s">
        <v>3187</v>
      </c>
      <c r="I1447" s="3">
        <v>33</v>
      </c>
      <c r="J1447" s="4">
        <v>41579</v>
      </c>
      <c r="K1447" s="6">
        <v>0.47916666666666669</v>
      </c>
      <c r="L1447" s="5"/>
      <c r="M1447" s="3" t="s">
        <v>3188</v>
      </c>
      <c r="N1447" s="3" t="s">
        <v>3188</v>
      </c>
      <c r="O1447" s="5"/>
      <c r="P1447" s="3" t="s">
        <v>74</v>
      </c>
      <c r="Q1447" s="7"/>
      <c r="R1447" s="7"/>
    </row>
    <row r="1448" spans="1:18" ht="102" x14ac:dyDescent="0.25">
      <c r="A1448" s="3" t="s">
        <v>18</v>
      </c>
      <c r="B1448" s="3">
        <v>2013</v>
      </c>
      <c r="C1448" s="3" t="s">
        <v>2058</v>
      </c>
      <c r="D1448" s="3" t="str">
        <f>"598 / 2013"</f>
        <v>598 / 2013</v>
      </c>
      <c r="E1448" s="4">
        <v>41582</v>
      </c>
      <c r="F1448" s="3" t="s">
        <v>3189</v>
      </c>
      <c r="G1448" s="5"/>
      <c r="H1448" s="3" t="s">
        <v>3190</v>
      </c>
      <c r="I1448" s="3">
        <v>33</v>
      </c>
      <c r="J1448" s="4">
        <v>41579</v>
      </c>
      <c r="K1448" s="6">
        <v>0.47916666666666669</v>
      </c>
      <c r="L1448" s="5"/>
      <c r="M1448" s="3" t="s">
        <v>3191</v>
      </c>
      <c r="N1448" s="3" t="s">
        <v>3191</v>
      </c>
      <c r="O1448" s="5"/>
      <c r="P1448" s="3" t="s">
        <v>74</v>
      </c>
      <c r="Q1448" s="7"/>
      <c r="R1448" s="7"/>
    </row>
    <row r="1449" spans="1:18" ht="153" x14ac:dyDescent="0.25">
      <c r="A1449" s="3" t="s">
        <v>18</v>
      </c>
      <c r="B1449" s="3">
        <v>2013</v>
      </c>
      <c r="C1449" s="3" t="s">
        <v>2058</v>
      </c>
      <c r="D1449" s="3" t="str">
        <f>"599 / 2013"</f>
        <v>599 / 2013</v>
      </c>
      <c r="E1449" s="4">
        <v>41583</v>
      </c>
      <c r="F1449" s="3" t="s">
        <v>3192</v>
      </c>
      <c r="G1449" s="5"/>
      <c r="H1449" s="3" t="s">
        <v>3193</v>
      </c>
      <c r="I1449" s="3">
        <v>33</v>
      </c>
      <c r="J1449" s="4">
        <v>41579</v>
      </c>
      <c r="K1449" s="6">
        <v>0.47916666666666669</v>
      </c>
      <c r="L1449" s="5"/>
      <c r="M1449" s="3" t="s">
        <v>3194</v>
      </c>
      <c r="N1449" s="3" t="s">
        <v>3194</v>
      </c>
      <c r="O1449" s="5"/>
      <c r="P1449" s="3" t="s">
        <v>74</v>
      </c>
      <c r="Q1449" s="7"/>
      <c r="R1449" s="7"/>
    </row>
    <row r="1450" spans="1:18" ht="89.25" x14ac:dyDescent="0.25">
      <c r="A1450" s="3" t="s">
        <v>18</v>
      </c>
      <c r="B1450" s="3">
        <v>2013</v>
      </c>
      <c r="C1450" s="3" t="s">
        <v>2058</v>
      </c>
      <c r="D1450" s="3" t="str">
        <f>"60 / 2013"</f>
        <v>60 / 2013</v>
      </c>
      <c r="E1450" s="4">
        <v>41323</v>
      </c>
      <c r="F1450" s="3" t="s">
        <v>3195</v>
      </c>
      <c r="G1450" s="5"/>
      <c r="H1450" s="3" t="s">
        <v>3196</v>
      </c>
      <c r="I1450" s="3">
        <v>5</v>
      </c>
      <c r="J1450" s="4">
        <v>41319</v>
      </c>
      <c r="K1450" s="6">
        <v>0.5</v>
      </c>
      <c r="L1450" s="3">
        <v>1</v>
      </c>
      <c r="M1450" s="3" t="s">
        <v>35</v>
      </c>
      <c r="N1450" s="3" t="s">
        <v>35</v>
      </c>
      <c r="O1450" s="5"/>
      <c r="P1450" s="3" t="s">
        <v>22</v>
      </c>
      <c r="Q1450" s="7"/>
      <c r="R1450" s="7"/>
    </row>
    <row r="1451" spans="1:18" ht="63.75" x14ac:dyDescent="0.25">
      <c r="A1451" s="3" t="s">
        <v>18</v>
      </c>
      <c r="B1451" s="3">
        <v>2013</v>
      </c>
      <c r="C1451" s="3" t="s">
        <v>2058</v>
      </c>
      <c r="D1451" s="3" t="str">
        <f>"600 / 2013"</f>
        <v>600 / 2013</v>
      </c>
      <c r="E1451" s="4">
        <v>41582</v>
      </c>
      <c r="F1451" s="3" t="s">
        <v>3197</v>
      </c>
      <c r="G1451" s="5"/>
      <c r="H1451" s="3" t="s">
        <v>3198</v>
      </c>
      <c r="I1451" s="3">
        <v>33</v>
      </c>
      <c r="J1451" s="4">
        <v>41579</v>
      </c>
      <c r="K1451" s="6">
        <v>0.47916666666666669</v>
      </c>
      <c r="L1451" s="5"/>
      <c r="M1451" s="3" t="s">
        <v>3199</v>
      </c>
      <c r="N1451" s="3" t="s">
        <v>3199</v>
      </c>
      <c r="O1451" s="5"/>
      <c r="P1451" s="3" t="s">
        <v>74</v>
      </c>
      <c r="Q1451" s="7"/>
      <c r="R1451" s="7"/>
    </row>
    <row r="1452" spans="1:18" ht="76.5" x14ac:dyDescent="0.25">
      <c r="A1452" s="3" t="s">
        <v>18</v>
      </c>
      <c r="B1452" s="3">
        <v>2013</v>
      </c>
      <c r="C1452" s="3" t="s">
        <v>2058</v>
      </c>
      <c r="D1452" s="3" t="str">
        <f>"601 / 2013"</f>
        <v>601 / 2013</v>
      </c>
      <c r="E1452" s="4">
        <v>41590</v>
      </c>
      <c r="F1452" s="3" t="s">
        <v>3200</v>
      </c>
      <c r="G1452" s="5"/>
      <c r="H1452" s="3" t="s">
        <v>3201</v>
      </c>
      <c r="I1452" s="3">
        <v>34</v>
      </c>
      <c r="J1452" s="4">
        <v>41589</v>
      </c>
      <c r="K1452" s="6">
        <v>0.47916666666666669</v>
      </c>
      <c r="L1452" s="3">
        <v>1</v>
      </c>
      <c r="M1452" s="3" t="s">
        <v>2110</v>
      </c>
      <c r="N1452" s="3" t="s">
        <v>2110</v>
      </c>
      <c r="O1452" s="5"/>
      <c r="P1452" s="3" t="s">
        <v>22</v>
      </c>
      <c r="Q1452" s="7"/>
      <c r="R1452" s="7"/>
    </row>
    <row r="1453" spans="1:18" ht="63.75" x14ac:dyDescent="0.25">
      <c r="A1453" s="3" t="s">
        <v>18</v>
      </c>
      <c r="B1453" s="3">
        <v>2013</v>
      </c>
      <c r="C1453" s="3" t="s">
        <v>2058</v>
      </c>
      <c r="D1453" s="3" t="str">
        <f>"602 / 2013"</f>
        <v>602 / 2013</v>
      </c>
      <c r="E1453" s="4">
        <v>41590</v>
      </c>
      <c r="F1453" s="3" t="s">
        <v>3202</v>
      </c>
      <c r="G1453" s="5"/>
      <c r="H1453" s="3" t="s">
        <v>3203</v>
      </c>
      <c r="I1453" s="3">
        <v>34</v>
      </c>
      <c r="J1453" s="4">
        <v>41589</v>
      </c>
      <c r="K1453" s="6">
        <v>0.47916666666666669</v>
      </c>
      <c r="L1453" s="3">
        <v>2</v>
      </c>
      <c r="M1453" s="3" t="s">
        <v>2110</v>
      </c>
      <c r="N1453" s="3" t="s">
        <v>2110</v>
      </c>
      <c r="O1453" s="5"/>
      <c r="P1453" s="3" t="s">
        <v>22</v>
      </c>
      <c r="Q1453" s="7"/>
      <c r="R1453" s="7"/>
    </row>
    <row r="1454" spans="1:18" ht="127.5" x14ac:dyDescent="0.25">
      <c r="A1454" s="3" t="s">
        <v>18</v>
      </c>
      <c r="B1454" s="3">
        <v>2013</v>
      </c>
      <c r="C1454" s="3" t="s">
        <v>2058</v>
      </c>
      <c r="D1454" s="3" t="str">
        <f>"603 / 2013"</f>
        <v>603 / 2013</v>
      </c>
      <c r="E1454" s="4">
        <v>41590</v>
      </c>
      <c r="F1454" s="3" t="s">
        <v>3204</v>
      </c>
      <c r="G1454" s="5"/>
      <c r="H1454" s="3" t="s">
        <v>3205</v>
      </c>
      <c r="I1454" s="3">
        <v>34</v>
      </c>
      <c r="J1454" s="4">
        <v>41589</v>
      </c>
      <c r="K1454" s="6">
        <v>0.47916666666666669</v>
      </c>
      <c r="L1454" s="3">
        <v>3</v>
      </c>
      <c r="M1454" s="3" t="s">
        <v>2507</v>
      </c>
      <c r="N1454" s="3" t="s">
        <v>2507</v>
      </c>
      <c r="O1454" s="5"/>
      <c r="P1454" s="3" t="s">
        <v>22</v>
      </c>
      <c r="Q1454" s="7"/>
      <c r="R1454" s="7"/>
    </row>
    <row r="1455" spans="1:18" ht="102" x14ac:dyDescent="0.25">
      <c r="A1455" s="3" t="s">
        <v>18</v>
      </c>
      <c r="B1455" s="3">
        <v>2013</v>
      </c>
      <c r="C1455" s="3" t="s">
        <v>2058</v>
      </c>
      <c r="D1455" s="3" t="str">
        <f>"604 / 2013"</f>
        <v>604 / 2013</v>
      </c>
      <c r="E1455" s="4">
        <v>41596</v>
      </c>
      <c r="F1455" s="3" t="s">
        <v>3206</v>
      </c>
      <c r="G1455" s="5"/>
      <c r="H1455" s="3" t="s">
        <v>3207</v>
      </c>
      <c r="I1455" s="3">
        <v>34</v>
      </c>
      <c r="J1455" s="4">
        <v>41589</v>
      </c>
      <c r="K1455" s="6">
        <v>0.47916666666666669</v>
      </c>
      <c r="L1455" s="3">
        <v>4</v>
      </c>
      <c r="M1455" s="3" t="s">
        <v>2099</v>
      </c>
      <c r="N1455" s="3" t="s">
        <v>2099</v>
      </c>
      <c r="O1455" s="5"/>
      <c r="P1455" s="3" t="s">
        <v>22</v>
      </c>
      <c r="Q1455" s="7"/>
      <c r="R1455" s="7"/>
    </row>
    <row r="1456" spans="1:18" ht="51" x14ac:dyDescent="0.25">
      <c r="A1456" s="3" t="s">
        <v>18</v>
      </c>
      <c r="B1456" s="3">
        <v>2013</v>
      </c>
      <c r="C1456" s="3" t="s">
        <v>2058</v>
      </c>
      <c r="D1456" s="3" t="str">
        <f>"605 / 2013"</f>
        <v>605 / 2013</v>
      </c>
      <c r="E1456" s="4">
        <v>41592</v>
      </c>
      <c r="F1456" s="3" t="s">
        <v>3208</v>
      </c>
      <c r="G1456" s="5"/>
      <c r="H1456" s="3" t="s">
        <v>3209</v>
      </c>
      <c r="I1456" s="3">
        <v>34</v>
      </c>
      <c r="J1456" s="4">
        <v>41589</v>
      </c>
      <c r="K1456" s="6">
        <v>0.47916666666666669</v>
      </c>
      <c r="L1456" s="3">
        <v>5</v>
      </c>
      <c r="M1456" s="3" t="s">
        <v>661</v>
      </c>
      <c r="N1456" s="3" t="s">
        <v>661</v>
      </c>
      <c r="O1456" s="5"/>
      <c r="P1456" s="3" t="s">
        <v>22</v>
      </c>
      <c r="Q1456" s="7"/>
      <c r="R1456" s="7"/>
    </row>
    <row r="1457" spans="1:18" ht="63.75" x14ac:dyDescent="0.25">
      <c r="A1457" s="3" t="s">
        <v>18</v>
      </c>
      <c r="B1457" s="3">
        <v>2013</v>
      </c>
      <c r="C1457" s="3" t="s">
        <v>2058</v>
      </c>
      <c r="D1457" s="3" t="str">
        <f>"606 / 2013"</f>
        <v>606 / 2013</v>
      </c>
      <c r="E1457" s="4">
        <v>41590</v>
      </c>
      <c r="F1457" s="3" t="s">
        <v>3210</v>
      </c>
      <c r="G1457" s="5"/>
      <c r="H1457" s="3" t="s">
        <v>3211</v>
      </c>
      <c r="I1457" s="3">
        <v>34</v>
      </c>
      <c r="J1457" s="4">
        <v>41589</v>
      </c>
      <c r="K1457" s="6">
        <v>0.47916666666666669</v>
      </c>
      <c r="L1457" s="5"/>
      <c r="M1457" s="3" t="s">
        <v>2069</v>
      </c>
      <c r="N1457" s="3" t="s">
        <v>2069</v>
      </c>
      <c r="O1457" s="5"/>
      <c r="P1457" s="3" t="s">
        <v>74</v>
      </c>
      <c r="Q1457" s="7"/>
      <c r="R1457" s="7"/>
    </row>
    <row r="1458" spans="1:18" ht="51" x14ac:dyDescent="0.25">
      <c r="A1458" s="3" t="s">
        <v>18</v>
      </c>
      <c r="B1458" s="3">
        <v>2013</v>
      </c>
      <c r="C1458" s="3" t="s">
        <v>2058</v>
      </c>
      <c r="D1458" s="3" t="str">
        <f>"607 / 2013"</f>
        <v>607 / 2013</v>
      </c>
      <c r="E1458" s="4">
        <v>41606</v>
      </c>
      <c r="F1458" s="3" t="s">
        <v>3212</v>
      </c>
      <c r="G1458" s="5"/>
      <c r="H1458" s="3" t="s">
        <v>3213</v>
      </c>
      <c r="I1458" s="3">
        <v>35</v>
      </c>
      <c r="J1458" s="4">
        <v>41604</v>
      </c>
      <c r="K1458" s="6">
        <v>0.47916666666666669</v>
      </c>
      <c r="L1458" s="3">
        <v>1</v>
      </c>
      <c r="M1458" s="3" t="s">
        <v>2110</v>
      </c>
      <c r="N1458" s="3" t="s">
        <v>2110</v>
      </c>
      <c r="O1458" s="5"/>
      <c r="P1458" s="3" t="s">
        <v>22</v>
      </c>
      <c r="Q1458" s="7"/>
      <c r="R1458" s="7"/>
    </row>
    <row r="1459" spans="1:18" ht="89.25" x14ac:dyDescent="0.25">
      <c r="A1459" s="3" t="s">
        <v>18</v>
      </c>
      <c r="B1459" s="3">
        <v>2013</v>
      </c>
      <c r="C1459" s="3" t="s">
        <v>2058</v>
      </c>
      <c r="D1459" s="3" t="str">
        <f>"608 / 2013"</f>
        <v>608 / 2013</v>
      </c>
      <c r="E1459" s="4">
        <v>41607</v>
      </c>
      <c r="F1459" s="3" t="s">
        <v>3214</v>
      </c>
      <c r="G1459" s="5"/>
      <c r="H1459" s="3" t="s">
        <v>3215</v>
      </c>
      <c r="I1459" s="3">
        <v>35</v>
      </c>
      <c r="J1459" s="4">
        <v>41604</v>
      </c>
      <c r="K1459" s="6">
        <v>0.47916666666666669</v>
      </c>
      <c r="L1459" s="3">
        <v>2</v>
      </c>
      <c r="M1459" s="3" t="s">
        <v>35</v>
      </c>
      <c r="N1459" s="3" t="s">
        <v>35</v>
      </c>
      <c r="O1459" s="5"/>
      <c r="P1459" s="3" t="s">
        <v>22</v>
      </c>
      <c r="Q1459" s="7"/>
      <c r="R1459" s="7"/>
    </row>
    <row r="1460" spans="1:18" ht="63.75" x14ac:dyDescent="0.25">
      <c r="A1460" s="3" t="s">
        <v>18</v>
      </c>
      <c r="B1460" s="3">
        <v>2013</v>
      </c>
      <c r="C1460" s="3" t="s">
        <v>2058</v>
      </c>
      <c r="D1460" s="3" t="str">
        <f>"609 / 2013"</f>
        <v>609 / 2013</v>
      </c>
      <c r="E1460" s="4">
        <v>41604</v>
      </c>
      <c r="F1460" s="3" t="s">
        <v>3216</v>
      </c>
      <c r="G1460" s="5"/>
      <c r="H1460" s="3" t="s">
        <v>3217</v>
      </c>
      <c r="I1460" s="3">
        <v>35</v>
      </c>
      <c r="J1460" s="4">
        <v>41604</v>
      </c>
      <c r="K1460" s="6">
        <v>0.47916666666666669</v>
      </c>
      <c r="L1460" s="5"/>
      <c r="M1460" s="3" t="s">
        <v>2061</v>
      </c>
      <c r="N1460" s="3" t="s">
        <v>2061</v>
      </c>
      <c r="O1460" s="5"/>
      <c r="P1460" s="3" t="s">
        <v>22</v>
      </c>
      <c r="Q1460" s="7"/>
      <c r="R1460" s="7"/>
    </row>
    <row r="1461" spans="1:18" ht="76.5" x14ac:dyDescent="0.25">
      <c r="A1461" s="3" t="s">
        <v>18</v>
      </c>
      <c r="B1461" s="3">
        <v>2013</v>
      </c>
      <c r="C1461" s="3" t="s">
        <v>2058</v>
      </c>
      <c r="D1461" s="3" t="str">
        <f>"61/ 2013"</f>
        <v>61/ 2013</v>
      </c>
      <c r="E1461" s="4">
        <v>41331</v>
      </c>
      <c r="F1461" s="3" t="s">
        <v>3218</v>
      </c>
      <c r="G1461" s="5"/>
      <c r="H1461" s="3" t="s">
        <v>3219</v>
      </c>
      <c r="I1461" s="3">
        <v>5</v>
      </c>
      <c r="J1461" s="4">
        <v>41319</v>
      </c>
      <c r="K1461" s="6">
        <v>0.5</v>
      </c>
      <c r="L1461" s="3">
        <v>2</v>
      </c>
      <c r="M1461" s="3" t="s">
        <v>2102</v>
      </c>
      <c r="N1461" s="3" t="s">
        <v>2102</v>
      </c>
      <c r="O1461" s="5"/>
      <c r="P1461" s="3" t="s">
        <v>22</v>
      </c>
      <c r="Q1461" s="7"/>
      <c r="R1461" s="7"/>
    </row>
    <row r="1462" spans="1:18" ht="51" x14ac:dyDescent="0.25">
      <c r="A1462" s="3" t="s">
        <v>18</v>
      </c>
      <c r="B1462" s="3">
        <v>2013</v>
      </c>
      <c r="C1462" s="3" t="s">
        <v>2058</v>
      </c>
      <c r="D1462" s="3" t="str">
        <f>"610 / 2013"</f>
        <v>610 / 2013</v>
      </c>
      <c r="E1462" s="4">
        <v>41605</v>
      </c>
      <c r="F1462" s="3" t="s">
        <v>3220</v>
      </c>
      <c r="G1462" s="5"/>
      <c r="H1462" s="3" t="s">
        <v>3221</v>
      </c>
      <c r="I1462" s="3">
        <v>35</v>
      </c>
      <c r="J1462" s="4">
        <v>41604</v>
      </c>
      <c r="K1462" s="6">
        <v>0.47916666666666669</v>
      </c>
      <c r="L1462" s="3">
        <v>4</v>
      </c>
      <c r="M1462" s="3" t="s">
        <v>2069</v>
      </c>
      <c r="N1462" s="3" t="s">
        <v>2069</v>
      </c>
      <c r="O1462" s="5"/>
      <c r="P1462" s="3" t="s">
        <v>22</v>
      </c>
      <c r="Q1462" s="7"/>
      <c r="R1462" s="7"/>
    </row>
    <row r="1463" spans="1:18" ht="89.25" x14ac:dyDescent="0.25">
      <c r="A1463" s="3" t="s">
        <v>18</v>
      </c>
      <c r="B1463" s="3">
        <v>2013</v>
      </c>
      <c r="C1463" s="3" t="s">
        <v>2058</v>
      </c>
      <c r="D1463" s="3" t="str">
        <f>"611 / 2013"</f>
        <v>611 / 2013</v>
      </c>
      <c r="E1463" s="4">
        <v>41605</v>
      </c>
      <c r="F1463" s="3" t="s">
        <v>3222</v>
      </c>
      <c r="G1463" s="5"/>
      <c r="H1463" s="3" t="s">
        <v>3223</v>
      </c>
      <c r="I1463" s="3">
        <v>35</v>
      </c>
      <c r="J1463" s="4">
        <v>41604</v>
      </c>
      <c r="K1463" s="6">
        <v>0.47916666666666669</v>
      </c>
      <c r="L1463" s="3">
        <v>5</v>
      </c>
      <c r="M1463" s="3" t="s">
        <v>2110</v>
      </c>
      <c r="N1463" s="3" t="s">
        <v>2110</v>
      </c>
      <c r="O1463" s="5"/>
      <c r="P1463" s="3" t="s">
        <v>22</v>
      </c>
      <c r="Q1463" s="7"/>
      <c r="R1463" s="7"/>
    </row>
    <row r="1464" spans="1:18" ht="89.25" x14ac:dyDescent="0.25">
      <c r="A1464" s="3" t="s">
        <v>18</v>
      </c>
      <c r="B1464" s="3">
        <v>2013</v>
      </c>
      <c r="C1464" s="3" t="s">
        <v>2058</v>
      </c>
      <c r="D1464" s="3" t="str">
        <f>"612 / 2013"</f>
        <v>612 / 2013</v>
      </c>
      <c r="E1464" s="4">
        <v>41620</v>
      </c>
      <c r="F1464" s="3" t="s">
        <v>3224</v>
      </c>
      <c r="G1464" s="5"/>
      <c r="H1464" s="3" t="s">
        <v>3225</v>
      </c>
      <c r="I1464" s="3">
        <v>35</v>
      </c>
      <c r="J1464" s="4">
        <v>41604</v>
      </c>
      <c r="K1464" s="6">
        <v>0.47916666666666669</v>
      </c>
      <c r="L1464" s="3">
        <v>6</v>
      </c>
      <c r="M1464" s="3" t="s">
        <v>3226</v>
      </c>
      <c r="N1464" s="3" t="s">
        <v>3226</v>
      </c>
      <c r="O1464" s="5"/>
      <c r="P1464" s="3" t="s">
        <v>22</v>
      </c>
      <c r="Q1464" s="7"/>
      <c r="R1464" s="7"/>
    </row>
    <row r="1465" spans="1:18" ht="76.5" x14ac:dyDescent="0.25">
      <c r="A1465" s="3" t="s">
        <v>18</v>
      </c>
      <c r="B1465" s="3">
        <v>2013</v>
      </c>
      <c r="C1465" s="3" t="s">
        <v>2058</v>
      </c>
      <c r="D1465" s="3" t="str">
        <f>"613 / 2013"</f>
        <v>613 / 2013</v>
      </c>
      <c r="E1465" s="4">
        <v>41613</v>
      </c>
      <c r="F1465" s="3" t="s">
        <v>3227</v>
      </c>
      <c r="G1465" s="5"/>
      <c r="H1465" s="3" t="s">
        <v>3228</v>
      </c>
      <c r="I1465" s="3">
        <v>35</v>
      </c>
      <c r="J1465" s="4">
        <v>41604</v>
      </c>
      <c r="K1465" s="6">
        <v>0.47916666666666669</v>
      </c>
      <c r="L1465" s="3">
        <v>7</v>
      </c>
      <c r="M1465" s="3" t="s">
        <v>2069</v>
      </c>
      <c r="N1465" s="3" t="s">
        <v>2069</v>
      </c>
      <c r="O1465" s="5"/>
      <c r="P1465" s="3" t="s">
        <v>22</v>
      </c>
      <c r="Q1465" s="7"/>
      <c r="R1465" s="7"/>
    </row>
    <row r="1466" spans="1:18" ht="63.75" x14ac:dyDescent="0.25">
      <c r="A1466" s="3" t="s">
        <v>18</v>
      </c>
      <c r="B1466" s="3">
        <v>2013</v>
      </c>
      <c r="C1466" s="3" t="s">
        <v>2058</v>
      </c>
      <c r="D1466" s="3" t="str">
        <f>"614 / 2013"</f>
        <v>614 / 2013</v>
      </c>
      <c r="E1466" s="4">
        <v>41611</v>
      </c>
      <c r="F1466" s="3" t="s">
        <v>3229</v>
      </c>
      <c r="G1466" s="5"/>
      <c r="H1466" s="3" t="s">
        <v>3230</v>
      </c>
      <c r="I1466" s="3">
        <v>35</v>
      </c>
      <c r="J1466" s="4">
        <v>41604</v>
      </c>
      <c r="K1466" s="6">
        <v>0.47916666666666669</v>
      </c>
      <c r="L1466" s="3">
        <v>8</v>
      </c>
      <c r="M1466" s="3" t="s">
        <v>2074</v>
      </c>
      <c r="N1466" s="3" t="s">
        <v>2074</v>
      </c>
      <c r="O1466" s="5"/>
      <c r="P1466" s="3" t="s">
        <v>22</v>
      </c>
      <c r="Q1466" s="7"/>
      <c r="R1466" s="7"/>
    </row>
    <row r="1467" spans="1:18" ht="102" x14ac:dyDescent="0.25">
      <c r="A1467" s="3" t="s">
        <v>18</v>
      </c>
      <c r="B1467" s="3">
        <v>2013</v>
      </c>
      <c r="C1467" s="3" t="s">
        <v>2058</v>
      </c>
      <c r="D1467" s="3" t="str">
        <f>"616 / 2013"</f>
        <v>616 / 2013</v>
      </c>
      <c r="E1467" s="4">
        <v>41621</v>
      </c>
      <c r="F1467" s="3" t="s">
        <v>3231</v>
      </c>
      <c r="G1467" s="5"/>
      <c r="H1467" s="3" t="s">
        <v>3232</v>
      </c>
      <c r="I1467" s="3">
        <v>35</v>
      </c>
      <c r="J1467" s="4">
        <v>41604</v>
      </c>
      <c r="K1467" s="6">
        <v>0.47916666666666669</v>
      </c>
      <c r="L1467" s="3">
        <v>10</v>
      </c>
      <c r="M1467" s="3" t="s">
        <v>3233</v>
      </c>
      <c r="N1467" s="3" t="s">
        <v>2110</v>
      </c>
      <c r="O1467" s="5"/>
      <c r="P1467" s="3" t="s">
        <v>22</v>
      </c>
      <c r="Q1467" s="7"/>
      <c r="R1467" s="7"/>
    </row>
    <row r="1468" spans="1:18" ht="63.75" x14ac:dyDescent="0.25">
      <c r="A1468" s="3" t="s">
        <v>18</v>
      </c>
      <c r="B1468" s="3">
        <v>2013</v>
      </c>
      <c r="C1468" s="3" t="s">
        <v>2058</v>
      </c>
      <c r="D1468" s="3" t="str">
        <f>"617 / 2013"</f>
        <v>617 / 2013</v>
      </c>
      <c r="E1468" s="4">
        <v>41620</v>
      </c>
      <c r="F1468" s="3" t="s">
        <v>3234</v>
      </c>
      <c r="G1468" s="5"/>
      <c r="H1468" s="3" t="s">
        <v>3235</v>
      </c>
      <c r="I1468" s="3">
        <v>35</v>
      </c>
      <c r="J1468" s="4">
        <v>41604</v>
      </c>
      <c r="K1468" s="6">
        <v>0.47916666666666669</v>
      </c>
      <c r="L1468" s="3">
        <v>11</v>
      </c>
      <c r="M1468" s="3" t="s">
        <v>2442</v>
      </c>
      <c r="N1468" s="3" t="s">
        <v>2442</v>
      </c>
      <c r="O1468" s="5"/>
      <c r="P1468" s="3" t="s">
        <v>22</v>
      </c>
      <c r="Q1468" s="7"/>
      <c r="R1468" s="7"/>
    </row>
    <row r="1469" spans="1:18" ht="51" x14ac:dyDescent="0.25">
      <c r="A1469" s="3" t="s">
        <v>18</v>
      </c>
      <c r="B1469" s="3">
        <v>2013</v>
      </c>
      <c r="C1469" s="3" t="s">
        <v>2058</v>
      </c>
      <c r="D1469" s="3" t="str">
        <f>"618 / 2013"</f>
        <v>618 / 2013</v>
      </c>
      <c r="E1469" s="4">
        <v>41620</v>
      </c>
      <c r="F1469" s="3" t="s">
        <v>3236</v>
      </c>
      <c r="G1469" s="5"/>
      <c r="H1469" s="3" t="s">
        <v>3237</v>
      </c>
      <c r="I1469" s="3">
        <v>35</v>
      </c>
      <c r="J1469" s="4">
        <v>41604</v>
      </c>
      <c r="K1469" s="6">
        <v>0.47916666666666669</v>
      </c>
      <c r="L1469" s="3">
        <v>12</v>
      </c>
      <c r="M1469" s="3" t="s">
        <v>2442</v>
      </c>
      <c r="N1469" s="3" t="s">
        <v>2442</v>
      </c>
      <c r="O1469" s="5"/>
      <c r="P1469" s="3" t="s">
        <v>22</v>
      </c>
      <c r="Q1469" s="7"/>
      <c r="R1469" s="7"/>
    </row>
    <row r="1470" spans="1:18" ht="63.75" x14ac:dyDescent="0.25">
      <c r="A1470" s="3" t="s">
        <v>18</v>
      </c>
      <c r="B1470" s="3">
        <v>2013</v>
      </c>
      <c r="C1470" s="3" t="s">
        <v>2058</v>
      </c>
      <c r="D1470" s="3" t="str">
        <f>"619 / 2013"</f>
        <v>619 / 2013</v>
      </c>
      <c r="E1470" s="4">
        <v>41611</v>
      </c>
      <c r="F1470" s="3" t="s">
        <v>3238</v>
      </c>
      <c r="G1470" s="5"/>
      <c r="H1470" s="3" t="s">
        <v>3239</v>
      </c>
      <c r="I1470" s="3">
        <v>35</v>
      </c>
      <c r="J1470" s="4">
        <v>41604</v>
      </c>
      <c r="K1470" s="6">
        <v>0.47916666666666669</v>
      </c>
      <c r="L1470" s="3">
        <v>13</v>
      </c>
      <c r="M1470" s="3" t="s">
        <v>2105</v>
      </c>
      <c r="N1470" s="3" t="s">
        <v>2105</v>
      </c>
      <c r="O1470" s="5"/>
      <c r="P1470" s="3" t="s">
        <v>22</v>
      </c>
      <c r="Q1470" s="7"/>
      <c r="R1470" s="7"/>
    </row>
    <row r="1471" spans="1:18" ht="102" x14ac:dyDescent="0.25">
      <c r="A1471" s="3" t="s">
        <v>18</v>
      </c>
      <c r="B1471" s="3">
        <v>2013</v>
      </c>
      <c r="C1471" s="3" t="s">
        <v>2058</v>
      </c>
      <c r="D1471" s="3" t="str">
        <f>"62/ 2013"</f>
        <v>62/ 2013</v>
      </c>
      <c r="E1471" s="4">
        <v>41331</v>
      </c>
      <c r="F1471" s="3" t="s">
        <v>3240</v>
      </c>
      <c r="G1471" s="5"/>
      <c r="H1471" s="3" t="s">
        <v>3241</v>
      </c>
      <c r="I1471" s="3">
        <v>5</v>
      </c>
      <c r="J1471" s="4">
        <v>41319</v>
      </c>
      <c r="K1471" s="6">
        <v>0.5</v>
      </c>
      <c r="L1471" s="3">
        <v>3</v>
      </c>
      <c r="M1471" s="3" t="s">
        <v>3242</v>
      </c>
      <c r="N1471" s="3" t="s">
        <v>3242</v>
      </c>
      <c r="O1471" s="5"/>
      <c r="P1471" s="3" t="s">
        <v>22</v>
      </c>
      <c r="Q1471" s="7"/>
      <c r="R1471" s="7"/>
    </row>
    <row r="1472" spans="1:18" ht="76.5" x14ac:dyDescent="0.25">
      <c r="A1472" s="3" t="s">
        <v>18</v>
      </c>
      <c r="B1472" s="3">
        <v>2013</v>
      </c>
      <c r="C1472" s="3" t="s">
        <v>2058</v>
      </c>
      <c r="D1472" s="3" t="str">
        <f>"620 / 2013"</f>
        <v>620 / 2013</v>
      </c>
      <c r="E1472" s="4">
        <v>41611</v>
      </c>
      <c r="F1472" s="3" t="s">
        <v>3243</v>
      </c>
      <c r="G1472" s="5"/>
      <c r="H1472" s="3" t="s">
        <v>3244</v>
      </c>
      <c r="I1472" s="3">
        <v>35</v>
      </c>
      <c r="J1472" s="4">
        <v>41604</v>
      </c>
      <c r="K1472" s="6">
        <v>0.47916666666666669</v>
      </c>
      <c r="L1472" s="3">
        <v>14</v>
      </c>
      <c r="M1472" s="3" t="s">
        <v>2211</v>
      </c>
      <c r="N1472" s="3" t="s">
        <v>2211</v>
      </c>
      <c r="O1472" s="5"/>
      <c r="P1472" s="3" t="s">
        <v>22</v>
      </c>
      <c r="Q1472" s="7"/>
      <c r="R1472" s="7"/>
    </row>
    <row r="1473" spans="1:18" ht="51" x14ac:dyDescent="0.25">
      <c r="A1473" s="3" t="s">
        <v>18</v>
      </c>
      <c r="B1473" s="3">
        <v>2013</v>
      </c>
      <c r="C1473" s="3" t="s">
        <v>2058</v>
      </c>
      <c r="D1473" s="3" t="str">
        <f>"621 / 2013"</f>
        <v>621 / 2013</v>
      </c>
      <c r="E1473" s="4">
        <v>41611</v>
      </c>
      <c r="F1473" s="3" t="s">
        <v>3245</v>
      </c>
      <c r="G1473" s="5"/>
      <c r="H1473" s="3" t="s">
        <v>3246</v>
      </c>
      <c r="I1473" s="3">
        <v>35</v>
      </c>
      <c r="J1473" s="4">
        <v>41604</v>
      </c>
      <c r="K1473" s="6">
        <v>0.47916666666666669</v>
      </c>
      <c r="L1473" s="3">
        <v>15</v>
      </c>
      <c r="M1473" s="3" t="s">
        <v>2099</v>
      </c>
      <c r="N1473" s="3" t="s">
        <v>2099</v>
      </c>
      <c r="O1473" s="5"/>
      <c r="P1473" s="3" t="s">
        <v>22</v>
      </c>
      <c r="Q1473" s="7"/>
      <c r="R1473" s="7"/>
    </row>
    <row r="1474" spans="1:18" ht="63.75" x14ac:dyDescent="0.25">
      <c r="A1474" s="3" t="s">
        <v>18</v>
      </c>
      <c r="B1474" s="3">
        <v>2013</v>
      </c>
      <c r="C1474" s="3" t="s">
        <v>2058</v>
      </c>
      <c r="D1474" s="3" t="str">
        <f>"622 / 2013"</f>
        <v>622 / 2013</v>
      </c>
      <c r="E1474" s="4">
        <v>41624</v>
      </c>
      <c r="F1474" s="3" t="s">
        <v>3247</v>
      </c>
      <c r="G1474" s="5"/>
      <c r="H1474" s="3" t="s">
        <v>3248</v>
      </c>
      <c r="I1474" s="3">
        <v>35</v>
      </c>
      <c r="J1474" s="4">
        <v>41604</v>
      </c>
      <c r="K1474" s="6">
        <v>0.47916666666666669</v>
      </c>
      <c r="L1474" s="3">
        <v>16</v>
      </c>
      <c r="M1474" s="3" t="s">
        <v>2590</v>
      </c>
      <c r="N1474" s="3" t="s">
        <v>2590</v>
      </c>
      <c r="O1474" s="5"/>
      <c r="P1474" s="3" t="s">
        <v>22</v>
      </c>
      <c r="Q1474" s="7"/>
      <c r="R1474" s="7"/>
    </row>
    <row r="1475" spans="1:18" ht="63.75" x14ac:dyDescent="0.25">
      <c r="A1475" s="3" t="s">
        <v>18</v>
      </c>
      <c r="B1475" s="3">
        <v>2013</v>
      </c>
      <c r="C1475" s="3" t="s">
        <v>2058</v>
      </c>
      <c r="D1475" s="3" t="str">
        <f>"623 / 2013"</f>
        <v>623 / 2013</v>
      </c>
      <c r="E1475" s="4">
        <v>41624</v>
      </c>
      <c r="F1475" s="3" t="s">
        <v>3249</v>
      </c>
      <c r="G1475" s="5"/>
      <c r="H1475" s="3" t="s">
        <v>3250</v>
      </c>
      <c r="I1475" s="3">
        <v>35</v>
      </c>
      <c r="J1475" s="4">
        <v>41604</v>
      </c>
      <c r="K1475" s="6">
        <v>0.47916666666666669</v>
      </c>
      <c r="L1475" s="3">
        <v>17</v>
      </c>
      <c r="M1475" s="3" t="s">
        <v>2590</v>
      </c>
      <c r="N1475" s="3" t="s">
        <v>2590</v>
      </c>
      <c r="O1475" s="5"/>
      <c r="P1475" s="3" t="s">
        <v>22</v>
      </c>
      <c r="Q1475" s="7"/>
      <c r="R1475" s="7"/>
    </row>
    <row r="1476" spans="1:18" ht="102" x14ac:dyDescent="0.25">
      <c r="A1476" s="3" t="s">
        <v>18</v>
      </c>
      <c r="B1476" s="3">
        <v>2013</v>
      </c>
      <c r="C1476" s="3" t="s">
        <v>2058</v>
      </c>
      <c r="D1476" s="3" t="str">
        <f>"624 / 2013"</f>
        <v>624 / 2013</v>
      </c>
      <c r="E1476" s="4">
        <v>41607</v>
      </c>
      <c r="F1476" s="3" t="s">
        <v>3251</v>
      </c>
      <c r="G1476" s="5"/>
      <c r="H1476" s="3" t="s">
        <v>3252</v>
      </c>
      <c r="I1476" s="3">
        <v>35</v>
      </c>
      <c r="J1476" s="4">
        <v>41604</v>
      </c>
      <c r="K1476" s="6">
        <v>0.47916666666666669</v>
      </c>
      <c r="L1476" s="3">
        <v>18</v>
      </c>
      <c r="M1476" s="3" t="s">
        <v>3253</v>
      </c>
      <c r="N1476" s="3" t="s">
        <v>3253</v>
      </c>
      <c r="O1476" s="5"/>
      <c r="P1476" s="3" t="s">
        <v>22</v>
      </c>
      <c r="Q1476" s="7"/>
      <c r="R1476" s="7"/>
    </row>
    <row r="1477" spans="1:18" ht="51" x14ac:dyDescent="0.25">
      <c r="A1477" s="3" t="s">
        <v>18</v>
      </c>
      <c r="B1477" s="3">
        <v>2013</v>
      </c>
      <c r="C1477" s="3" t="s">
        <v>2058</v>
      </c>
      <c r="D1477" s="3" t="str">
        <f>"625 / 2013"</f>
        <v>625 / 2013</v>
      </c>
      <c r="E1477" s="4">
        <v>41612</v>
      </c>
      <c r="F1477" s="3" t="s">
        <v>3254</v>
      </c>
      <c r="G1477" s="5"/>
      <c r="H1477" s="3" t="s">
        <v>3255</v>
      </c>
      <c r="I1477" s="3">
        <v>35</v>
      </c>
      <c r="J1477" s="4">
        <v>41604</v>
      </c>
      <c r="K1477" s="6">
        <v>0.47916666666666669</v>
      </c>
      <c r="L1477" s="3">
        <v>19</v>
      </c>
      <c r="M1477" s="3" t="s">
        <v>2061</v>
      </c>
      <c r="N1477" s="3" t="s">
        <v>2061</v>
      </c>
      <c r="O1477" s="5"/>
      <c r="P1477" s="3" t="s">
        <v>22</v>
      </c>
      <c r="Q1477" s="7"/>
      <c r="R1477" s="7"/>
    </row>
    <row r="1478" spans="1:18" ht="51" x14ac:dyDescent="0.25">
      <c r="A1478" s="3" t="s">
        <v>18</v>
      </c>
      <c r="B1478" s="3">
        <v>2013</v>
      </c>
      <c r="C1478" s="3" t="s">
        <v>2058</v>
      </c>
      <c r="D1478" s="3" t="str">
        <f>"626 / 2013"</f>
        <v>626 / 2013</v>
      </c>
      <c r="E1478" s="4">
        <v>41612</v>
      </c>
      <c r="F1478" s="3" t="s">
        <v>3256</v>
      </c>
      <c r="G1478" s="5"/>
      <c r="H1478" s="3" t="s">
        <v>3257</v>
      </c>
      <c r="I1478" s="3">
        <v>35</v>
      </c>
      <c r="J1478" s="4">
        <v>41604</v>
      </c>
      <c r="K1478" s="6">
        <v>0.47916666666666669</v>
      </c>
      <c r="L1478" s="3">
        <v>20</v>
      </c>
      <c r="M1478" s="3" t="s">
        <v>2061</v>
      </c>
      <c r="N1478" s="3" t="s">
        <v>2061</v>
      </c>
      <c r="O1478" s="5"/>
      <c r="P1478" s="3" t="s">
        <v>22</v>
      </c>
      <c r="Q1478" s="7"/>
      <c r="R1478" s="7"/>
    </row>
    <row r="1479" spans="1:18" ht="63.75" x14ac:dyDescent="0.25">
      <c r="A1479" s="3" t="s">
        <v>18</v>
      </c>
      <c r="B1479" s="3">
        <v>2013</v>
      </c>
      <c r="C1479" s="3" t="s">
        <v>2058</v>
      </c>
      <c r="D1479" s="3" t="str">
        <f>"627 / 2013"</f>
        <v>627 / 2013</v>
      </c>
      <c r="E1479" s="4">
        <v>41607</v>
      </c>
      <c r="F1479" s="3" t="s">
        <v>3258</v>
      </c>
      <c r="G1479" s="5"/>
      <c r="H1479" s="3" t="s">
        <v>3259</v>
      </c>
      <c r="I1479" s="3">
        <v>35</v>
      </c>
      <c r="J1479" s="4">
        <v>41604</v>
      </c>
      <c r="K1479" s="6">
        <v>0.47916666666666669</v>
      </c>
      <c r="L1479" s="3">
        <v>21</v>
      </c>
      <c r="M1479" s="3" t="s">
        <v>2110</v>
      </c>
      <c r="N1479" s="3" t="s">
        <v>2110</v>
      </c>
      <c r="O1479" s="5"/>
      <c r="P1479" s="3" t="s">
        <v>22</v>
      </c>
      <c r="Q1479" s="7"/>
      <c r="R1479" s="7"/>
    </row>
    <row r="1480" spans="1:18" ht="89.25" x14ac:dyDescent="0.25">
      <c r="A1480" s="3" t="s">
        <v>18</v>
      </c>
      <c r="B1480" s="3">
        <v>2013</v>
      </c>
      <c r="C1480" s="3" t="s">
        <v>2058</v>
      </c>
      <c r="D1480" s="3" t="str">
        <f>"628 / 2013"</f>
        <v>628 / 2013</v>
      </c>
      <c r="E1480" s="4">
        <v>41611</v>
      </c>
      <c r="F1480" s="3" t="s">
        <v>3260</v>
      </c>
      <c r="G1480" s="5"/>
      <c r="H1480" s="3" t="s">
        <v>3261</v>
      </c>
      <c r="I1480" s="3">
        <v>35</v>
      </c>
      <c r="J1480" s="4">
        <v>41604</v>
      </c>
      <c r="K1480" s="6">
        <v>0.47916666666666669</v>
      </c>
      <c r="L1480" s="3">
        <v>22</v>
      </c>
      <c r="M1480" s="3" t="s">
        <v>3262</v>
      </c>
      <c r="N1480" s="3" t="s">
        <v>3262</v>
      </c>
      <c r="O1480" s="5"/>
      <c r="P1480" s="3" t="s">
        <v>22</v>
      </c>
      <c r="Q1480" s="7"/>
      <c r="R1480" s="7"/>
    </row>
    <row r="1481" spans="1:18" ht="63.75" x14ac:dyDescent="0.25">
      <c r="A1481" s="3" t="s">
        <v>18</v>
      </c>
      <c r="B1481" s="3">
        <v>2013</v>
      </c>
      <c r="C1481" s="3" t="s">
        <v>2058</v>
      </c>
      <c r="D1481" s="3" t="str">
        <f>"629 / 2013"</f>
        <v>629 / 2013</v>
      </c>
      <c r="E1481" s="4">
        <v>41621</v>
      </c>
      <c r="F1481" s="3" t="s">
        <v>3263</v>
      </c>
      <c r="G1481" s="5"/>
      <c r="H1481" s="3" t="s">
        <v>3264</v>
      </c>
      <c r="I1481" s="3">
        <v>35</v>
      </c>
      <c r="J1481" s="4">
        <v>41604</v>
      </c>
      <c r="K1481" s="6">
        <v>0.47916666666666669</v>
      </c>
      <c r="L1481" s="3">
        <v>23</v>
      </c>
      <c r="M1481" s="3" t="s">
        <v>2590</v>
      </c>
      <c r="N1481" s="3" t="s">
        <v>2590</v>
      </c>
      <c r="O1481" s="5"/>
      <c r="P1481" s="3" t="s">
        <v>22</v>
      </c>
      <c r="Q1481" s="7"/>
      <c r="R1481" s="7"/>
    </row>
    <row r="1482" spans="1:18" ht="114.75" x14ac:dyDescent="0.25">
      <c r="A1482" s="3" t="s">
        <v>18</v>
      </c>
      <c r="B1482" s="3">
        <v>2013</v>
      </c>
      <c r="C1482" s="3" t="s">
        <v>2058</v>
      </c>
      <c r="D1482" s="3" t="str">
        <f>"630 / 2013"</f>
        <v>630 / 2013</v>
      </c>
      <c r="E1482" s="4">
        <v>41610</v>
      </c>
      <c r="F1482" s="3" t="s">
        <v>3265</v>
      </c>
      <c r="G1482" s="5"/>
      <c r="H1482" s="3" t="s">
        <v>3266</v>
      </c>
      <c r="I1482" s="3">
        <v>35</v>
      </c>
      <c r="J1482" s="4">
        <v>41604</v>
      </c>
      <c r="K1482" s="6">
        <v>0.47916666666666669</v>
      </c>
      <c r="L1482" s="3">
        <v>24</v>
      </c>
      <c r="M1482" s="3" t="s">
        <v>3267</v>
      </c>
      <c r="N1482" s="3" t="s">
        <v>3267</v>
      </c>
      <c r="O1482" s="5"/>
      <c r="P1482" s="3" t="s">
        <v>22</v>
      </c>
      <c r="Q1482" s="7"/>
      <c r="R1482" s="7"/>
    </row>
    <row r="1483" spans="1:18" ht="127.5" x14ac:dyDescent="0.25">
      <c r="A1483" s="3" t="s">
        <v>18</v>
      </c>
      <c r="B1483" s="3">
        <v>2013</v>
      </c>
      <c r="C1483" s="3" t="s">
        <v>2058</v>
      </c>
      <c r="D1483" s="3" t="str">
        <f>"631 / 2013"</f>
        <v>631 / 2013</v>
      </c>
      <c r="E1483" s="4">
        <v>41610</v>
      </c>
      <c r="F1483" s="3" t="s">
        <v>3268</v>
      </c>
      <c r="G1483" s="5"/>
      <c r="H1483" s="3" t="s">
        <v>3269</v>
      </c>
      <c r="I1483" s="3">
        <v>35</v>
      </c>
      <c r="J1483" s="4">
        <v>41604</v>
      </c>
      <c r="K1483" s="6">
        <v>0.47916666666666669</v>
      </c>
      <c r="L1483" s="3">
        <v>25</v>
      </c>
      <c r="M1483" s="3" t="s">
        <v>3267</v>
      </c>
      <c r="N1483" s="3" t="s">
        <v>3267</v>
      </c>
      <c r="O1483" s="5"/>
      <c r="P1483" s="3" t="s">
        <v>22</v>
      </c>
      <c r="Q1483" s="7"/>
      <c r="R1483" s="7"/>
    </row>
    <row r="1484" spans="1:18" ht="153" x14ac:dyDescent="0.25">
      <c r="A1484" s="3" t="s">
        <v>18</v>
      </c>
      <c r="B1484" s="3">
        <v>2013</v>
      </c>
      <c r="C1484" s="3" t="s">
        <v>2058</v>
      </c>
      <c r="D1484" s="3" t="str">
        <f>"632 / 2013"</f>
        <v>632 / 2013</v>
      </c>
      <c r="E1484" s="4">
        <v>41607</v>
      </c>
      <c r="F1484" s="3" t="s">
        <v>3270</v>
      </c>
      <c r="G1484" s="5"/>
      <c r="H1484" s="3" t="s">
        <v>3271</v>
      </c>
      <c r="I1484" s="3">
        <v>35</v>
      </c>
      <c r="J1484" s="4">
        <v>41604</v>
      </c>
      <c r="K1484" s="6">
        <v>0.47916666666666669</v>
      </c>
      <c r="L1484" s="3">
        <v>26</v>
      </c>
      <c r="M1484" s="3" t="s">
        <v>3267</v>
      </c>
      <c r="N1484" s="3" t="s">
        <v>3267</v>
      </c>
      <c r="O1484" s="5"/>
      <c r="P1484" s="3" t="s">
        <v>22</v>
      </c>
      <c r="Q1484" s="7"/>
      <c r="R1484" s="7"/>
    </row>
    <row r="1485" spans="1:18" ht="127.5" x14ac:dyDescent="0.25">
      <c r="A1485" s="3" t="s">
        <v>18</v>
      </c>
      <c r="B1485" s="3">
        <v>2013</v>
      </c>
      <c r="C1485" s="3" t="s">
        <v>2058</v>
      </c>
      <c r="D1485" s="3" t="str">
        <f>"633 / 2013"</f>
        <v>633 / 2013</v>
      </c>
      <c r="E1485" s="4">
        <v>41607</v>
      </c>
      <c r="F1485" s="3" t="s">
        <v>3272</v>
      </c>
      <c r="G1485" s="5"/>
      <c r="H1485" s="3" t="s">
        <v>3273</v>
      </c>
      <c r="I1485" s="3">
        <v>35</v>
      </c>
      <c r="J1485" s="4">
        <v>41604</v>
      </c>
      <c r="K1485" s="6">
        <v>0.47916666666666669</v>
      </c>
      <c r="L1485" s="3">
        <v>27</v>
      </c>
      <c r="M1485" s="3" t="s">
        <v>3267</v>
      </c>
      <c r="N1485" s="3" t="s">
        <v>3267</v>
      </c>
      <c r="O1485" s="5"/>
      <c r="P1485" s="3" t="s">
        <v>22</v>
      </c>
      <c r="Q1485" s="7"/>
      <c r="R1485" s="7"/>
    </row>
    <row r="1486" spans="1:18" ht="51" x14ac:dyDescent="0.25">
      <c r="A1486" s="3" t="s">
        <v>18</v>
      </c>
      <c r="B1486" s="3">
        <v>2013</v>
      </c>
      <c r="C1486" s="3" t="s">
        <v>2058</v>
      </c>
      <c r="D1486" s="3" t="str">
        <f>"634/ 2013"</f>
        <v>634/ 2013</v>
      </c>
      <c r="E1486" s="4">
        <v>41607</v>
      </c>
      <c r="F1486" s="3" t="s">
        <v>3274</v>
      </c>
      <c r="G1486" s="5"/>
      <c r="H1486" s="3" t="s">
        <v>3275</v>
      </c>
      <c r="I1486" s="3">
        <v>35</v>
      </c>
      <c r="J1486" s="4">
        <v>41604</v>
      </c>
      <c r="K1486" s="6">
        <v>0.47916666666666669</v>
      </c>
      <c r="L1486" s="3">
        <v>28</v>
      </c>
      <c r="M1486" s="3" t="s">
        <v>2099</v>
      </c>
      <c r="N1486" s="3" t="s">
        <v>2099</v>
      </c>
      <c r="O1486" s="5"/>
      <c r="P1486" s="3" t="s">
        <v>22</v>
      </c>
      <c r="Q1486" s="7"/>
      <c r="R1486" s="7"/>
    </row>
    <row r="1487" spans="1:18" ht="89.25" x14ac:dyDescent="0.25">
      <c r="A1487" s="3" t="s">
        <v>18</v>
      </c>
      <c r="B1487" s="3">
        <v>2013</v>
      </c>
      <c r="C1487" s="3" t="s">
        <v>2058</v>
      </c>
      <c r="D1487" s="3" t="str">
        <f>"635 / 2013"</f>
        <v>635 / 2013</v>
      </c>
      <c r="E1487" s="4">
        <v>41606</v>
      </c>
      <c r="F1487" s="3" t="s">
        <v>3276</v>
      </c>
      <c r="G1487" s="5"/>
      <c r="H1487" s="3" t="s">
        <v>3277</v>
      </c>
      <c r="I1487" s="3">
        <v>35</v>
      </c>
      <c r="J1487" s="4">
        <v>41604</v>
      </c>
      <c r="K1487" s="6">
        <v>0.47916666666666669</v>
      </c>
      <c r="L1487" s="3">
        <v>29</v>
      </c>
      <c r="M1487" s="3" t="s">
        <v>2099</v>
      </c>
      <c r="N1487" s="3" t="s">
        <v>2099</v>
      </c>
      <c r="O1487" s="5"/>
      <c r="P1487" s="3" t="s">
        <v>22</v>
      </c>
      <c r="Q1487" s="7"/>
      <c r="R1487" s="7"/>
    </row>
    <row r="1488" spans="1:18" ht="114.75" x14ac:dyDescent="0.25">
      <c r="A1488" s="3" t="s">
        <v>18</v>
      </c>
      <c r="B1488" s="3">
        <v>2013</v>
      </c>
      <c r="C1488" s="3" t="s">
        <v>2058</v>
      </c>
      <c r="D1488" s="3" t="str">
        <f>"636/ 2013"</f>
        <v>636/ 2013</v>
      </c>
      <c r="E1488" s="4">
        <v>41607</v>
      </c>
      <c r="F1488" s="3" t="s">
        <v>3278</v>
      </c>
      <c r="G1488" s="5"/>
      <c r="H1488" s="3" t="s">
        <v>3279</v>
      </c>
      <c r="I1488" s="3">
        <v>35</v>
      </c>
      <c r="J1488" s="4">
        <v>41604</v>
      </c>
      <c r="K1488" s="6">
        <v>0.47916666666666669</v>
      </c>
      <c r="L1488" s="3">
        <v>30</v>
      </c>
      <c r="M1488" s="3" t="s">
        <v>3280</v>
      </c>
      <c r="N1488" s="3" t="s">
        <v>3280</v>
      </c>
      <c r="O1488" s="5"/>
      <c r="P1488" s="3" t="s">
        <v>22</v>
      </c>
      <c r="Q1488" s="7"/>
      <c r="R1488" s="7"/>
    </row>
    <row r="1489" spans="1:18" ht="102" x14ac:dyDescent="0.25">
      <c r="A1489" s="3" t="s">
        <v>18</v>
      </c>
      <c r="B1489" s="3">
        <v>2013</v>
      </c>
      <c r="C1489" s="3" t="s">
        <v>2058</v>
      </c>
      <c r="D1489" s="3" t="str">
        <f>"637 / 2013"</f>
        <v>637 / 2013</v>
      </c>
      <c r="E1489" s="4">
        <v>41605</v>
      </c>
      <c r="F1489" s="3" t="s">
        <v>3281</v>
      </c>
      <c r="G1489" s="5"/>
      <c r="H1489" s="3" t="s">
        <v>3282</v>
      </c>
      <c r="I1489" s="3">
        <v>35</v>
      </c>
      <c r="J1489" s="4">
        <v>41604</v>
      </c>
      <c r="K1489" s="6">
        <v>0.47916666666666669</v>
      </c>
      <c r="L1489" s="3">
        <v>31</v>
      </c>
      <c r="M1489" s="3" t="s">
        <v>2110</v>
      </c>
      <c r="N1489" s="3" t="s">
        <v>2110</v>
      </c>
      <c r="O1489" s="5"/>
      <c r="P1489" s="3" t="s">
        <v>22</v>
      </c>
      <c r="Q1489" s="7"/>
      <c r="R1489" s="7"/>
    </row>
    <row r="1490" spans="1:18" ht="51" x14ac:dyDescent="0.25">
      <c r="A1490" s="3" t="s">
        <v>18</v>
      </c>
      <c r="B1490" s="3">
        <v>2013</v>
      </c>
      <c r="C1490" s="3" t="s">
        <v>2058</v>
      </c>
      <c r="D1490" s="3" t="str">
        <f>"638 / 2013"</f>
        <v>638 / 2013</v>
      </c>
      <c r="E1490" s="4">
        <v>41618</v>
      </c>
      <c r="F1490" s="3" t="s">
        <v>3283</v>
      </c>
      <c r="G1490" s="5"/>
      <c r="H1490" s="3" t="s">
        <v>3284</v>
      </c>
      <c r="I1490" s="3">
        <v>35</v>
      </c>
      <c r="J1490" s="4">
        <v>41604</v>
      </c>
      <c r="K1490" s="6">
        <v>0.47916666666666669</v>
      </c>
      <c r="L1490" s="3">
        <v>32</v>
      </c>
      <c r="M1490" s="3" t="s">
        <v>2099</v>
      </c>
      <c r="N1490" s="3" t="s">
        <v>2099</v>
      </c>
      <c r="O1490" s="5"/>
      <c r="P1490" s="3" t="s">
        <v>22</v>
      </c>
      <c r="Q1490" s="7"/>
      <c r="R1490" s="7"/>
    </row>
    <row r="1491" spans="1:18" ht="63.75" x14ac:dyDescent="0.25">
      <c r="A1491" s="3" t="s">
        <v>18</v>
      </c>
      <c r="B1491" s="3">
        <v>2013</v>
      </c>
      <c r="C1491" s="3" t="s">
        <v>2058</v>
      </c>
      <c r="D1491" s="3" t="str">
        <f>"639 / 2013"</f>
        <v>639 / 2013</v>
      </c>
      <c r="E1491" s="4">
        <v>41617</v>
      </c>
      <c r="F1491" s="3" t="s">
        <v>3285</v>
      </c>
      <c r="G1491" s="5"/>
      <c r="H1491" s="3" t="s">
        <v>3286</v>
      </c>
      <c r="I1491" s="3">
        <v>35</v>
      </c>
      <c r="J1491" s="4">
        <v>41604</v>
      </c>
      <c r="K1491" s="6">
        <v>0.47916666666666669</v>
      </c>
      <c r="L1491" s="3">
        <v>33</v>
      </c>
      <c r="M1491" s="3" t="s">
        <v>2110</v>
      </c>
      <c r="N1491" s="3" t="s">
        <v>2110</v>
      </c>
      <c r="O1491" s="5"/>
      <c r="P1491" s="3" t="s">
        <v>22</v>
      </c>
      <c r="Q1491" s="7"/>
      <c r="R1491" s="7"/>
    </row>
    <row r="1492" spans="1:18" ht="63.75" x14ac:dyDescent="0.25">
      <c r="A1492" s="3" t="s">
        <v>18</v>
      </c>
      <c r="B1492" s="3">
        <v>2013</v>
      </c>
      <c r="C1492" s="3" t="s">
        <v>2058</v>
      </c>
      <c r="D1492" s="3" t="str">
        <f>"64 / 2013"</f>
        <v>64 / 2013</v>
      </c>
      <c r="E1492" s="4">
        <v>41323</v>
      </c>
      <c r="F1492" s="3" t="s">
        <v>3287</v>
      </c>
      <c r="G1492" s="5"/>
      <c r="H1492" s="3" t="s">
        <v>3288</v>
      </c>
      <c r="I1492" s="3">
        <v>5</v>
      </c>
      <c r="J1492" s="4">
        <v>41319</v>
      </c>
      <c r="K1492" s="6">
        <v>0.5</v>
      </c>
      <c r="L1492" s="3">
        <v>5</v>
      </c>
      <c r="M1492" s="3" t="s">
        <v>2061</v>
      </c>
      <c r="N1492" s="3" t="s">
        <v>2061</v>
      </c>
      <c r="O1492" s="5"/>
      <c r="P1492" s="3" t="s">
        <v>22</v>
      </c>
      <c r="Q1492" s="7"/>
      <c r="R1492" s="7"/>
    </row>
    <row r="1493" spans="1:18" ht="63.75" x14ac:dyDescent="0.25">
      <c r="A1493" s="3" t="s">
        <v>18</v>
      </c>
      <c r="B1493" s="3">
        <v>2013</v>
      </c>
      <c r="C1493" s="3" t="s">
        <v>2058</v>
      </c>
      <c r="D1493" s="3" t="str">
        <f>"640 / 2013"</f>
        <v>640 / 2013</v>
      </c>
      <c r="E1493" s="4">
        <v>41605</v>
      </c>
      <c r="F1493" s="3" t="s">
        <v>3289</v>
      </c>
      <c r="G1493" s="5"/>
      <c r="H1493" s="3" t="s">
        <v>3290</v>
      </c>
      <c r="I1493" s="3">
        <v>35</v>
      </c>
      <c r="J1493" s="4">
        <v>41604</v>
      </c>
      <c r="K1493" s="6">
        <v>0.47916666666666669</v>
      </c>
      <c r="L1493" s="3">
        <v>34</v>
      </c>
      <c r="M1493" s="3" t="s">
        <v>2110</v>
      </c>
      <c r="N1493" s="3" t="s">
        <v>2110</v>
      </c>
      <c r="O1493" s="5"/>
      <c r="P1493" s="3" t="s">
        <v>22</v>
      </c>
      <c r="Q1493" s="7"/>
      <c r="R1493" s="7"/>
    </row>
    <row r="1494" spans="1:18" ht="63.75" x14ac:dyDescent="0.25">
      <c r="A1494" s="3" t="s">
        <v>18</v>
      </c>
      <c r="B1494" s="3">
        <v>2013</v>
      </c>
      <c r="C1494" s="3" t="s">
        <v>2058</v>
      </c>
      <c r="D1494" s="3" t="str">
        <f>"641 / 2013"</f>
        <v>641 / 2013</v>
      </c>
      <c r="E1494" s="4">
        <v>41605</v>
      </c>
      <c r="F1494" s="3" t="s">
        <v>3291</v>
      </c>
      <c r="G1494" s="5"/>
      <c r="H1494" s="3" t="s">
        <v>3292</v>
      </c>
      <c r="I1494" s="3">
        <v>35</v>
      </c>
      <c r="J1494" s="4">
        <v>41604</v>
      </c>
      <c r="K1494" s="6">
        <v>0.47916666666666669</v>
      </c>
      <c r="L1494" s="3">
        <v>35</v>
      </c>
      <c r="M1494" s="3" t="s">
        <v>2110</v>
      </c>
      <c r="N1494" s="3" t="s">
        <v>2110</v>
      </c>
      <c r="O1494" s="5"/>
      <c r="P1494" s="3" t="s">
        <v>22</v>
      </c>
      <c r="Q1494" s="7"/>
      <c r="R1494" s="7"/>
    </row>
    <row r="1495" spans="1:18" ht="89.25" x14ac:dyDescent="0.25">
      <c r="A1495" s="3" t="s">
        <v>18</v>
      </c>
      <c r="B1495" s="3">
        <v>2013</v>
      </c>
      <c r="C1495" s="3" t="s">
        <v>2058</v>
      </c>
      <c r="D1495" s="3" t="str">
        <f>"642 / 2013"</f>
        <v>642 / 2013</v>
      </c>
      <c r="E1495" s="4">
        <v>41605</v>
      </c>
      <c r="F1495" s="3" t="s">
        <v>3293</v>
      </c>
      <c r="G1495" s="5"/>
      <c r="H1495" s="3" t="s">
        <v>3294</v>
      </c>
      <c r="I1495" s="3">
        <v>35</v>
      </c>
      <c r="J1495" s="4">
        <v>41604</v>
      </c>
      <c r="K1495" s="6">
        <v>0.47916666666666669</v>
      </c>
      <c r="L1495" s="3">
        <v>36</v>
      </c>
      <c r="M1495" s="3" t="s">
        <v>3295</v>
      </c>
      <c r="N1495" s="3" t="s">
        <v>3295</v>
      </c>
      <c r="O1495" s="5"/>
      <c r="P1495" s="3" t="s">
        <v>22</v>
      </c>
      <c r="Q1495" s="7"/>
      <c r="R1495" s="7"/>
    </row>
    <row r="1496" spans="1:18" ht="76.5" x14ac:dyDescent="0.25">
      <c r="A1496" s="3" t="s">
        <v>18</v>
      </c>
      <c r="B1496" s="3">
        <v>2013</v>
      </c>
      <c r="C1496" s="3" t="s">
        <v>2058</v>
      </c>
      <c r="D1496" s="3" t="str">
        <f>"643 / 2013"</f>
        <v>643 / 2013</v>
      </c>
      <c r="E1496" s="4">
        <v>41617</v>
      </c>
      <c r="F1496" s="3" t="s">
        <v>3296</v>
      </c>
      <c r="G1496" s="5"/>
      <c r="H1496" s="3" t="s">
        <v>3297</v>
      </c>
      <c r="I1496" s="3">
        <v>35</v>
      </c>
      <c r="J1496" s="4">
        <v>41604</v>
      </c>
      <c r="K1496" s="6">
        <v>0.47916666666666669</v>
      </c>
      <c r="L1496" s="3">
        <v>37</v>
      </c>
      <c r="M1496" s="3" t="s">
        <v>2110</v>
      </c>
      <c r="N1496" s="3" t="s">
        <v>2110</v>
      </c>
      <c r="O1496" s="5"/>
      <c r="P1496" s="3" t="s">
        <v>22</v>
      </c>
      <c r="Q1496" s="7"/>
      <c r="R1496" s="7"/>
    </row>
    <row r="1497" spans="1:18" ht="114.75" x14ac:dyDescent="0.25">
      <c r="A1497" s="3" t="s">
        <v>18</v>
      </c>
      <c r="B1497" s="3">
        <v>2013</v>
      </c>
      <c r="C1497" s="3" t="s">
        <v>2058</v>
      </c>
      <c r="D1497" s="3" t="str">
        <f>"644 / 2013"</f>
        <v>644 / 2013</v>
      </c>
      <c r="E1497" s="4">
        <v>41612</v>
      </c>
      <c r="F1497" s="3" t="s">
        <v>3298</v>
      </c>
      <c r="G1497" s="5"/>
      <c r="H1497" s="3" t="s">
        <v>3299</v>
      </c>
      <c r="I1497" s="3">
        <v>35</v>
      </c>
      <c r="J1497" s="4">
        <v>41604</v>
      </c>
      <c r="K1497" s="6">
        <v>0.47916666666666669</v>
      </c>
      <c r="L1497" s="3">
        <v>38</v>
      </c>
      <c r="M1497" s="3" t="s">
        <v>2110</v>
      </c>
      <c r="N1497" s="3" t="s">
        <v>2110</v>
      </c>
      <c r="O1497" s="5"/>
      <c r="P1497" s="3" t="s">
        <v>22</v>
      </c>
      <c r="Q1497" s="7"/>
      <c r="R1497" s="7"/>
    </row>
    <row r="1498" spans="1:18" ht="331.5" x14ac:dyDescent="0.25">
      <c r="A1498" s="3" t="s">
        <v>18</v>
      </c>
      <c r="B1498" s="3">
        <v>2013</v>
      </c>
      <c r="C1498" s="3" t="s">
        <v>2058</v>
      </c>
      <c r="D1498" s="3" t="str">
        <f>"645 / 2013"</f>
        <v>645 / 2013</v>
      </c>
      <c r="E1498" s="4">
        <v>41617</v>
      </c>
      <c r="F1498" s="3" t="s">
        <v>3300</v>
      </c>
      <c r="G1498" s="5"/>
      <c r="H1498" s="3" t="s">
        <v>3301</v>
      </c>
      <c r="I1498" s="3">
        <v>35</v>
      </c>
      <c r="J1498" s="4">
        <v>41604</v>
      </c>
      <c r="K1498" s="6">
        <v>0.47916666666666669</v>
      </c>
      <c r="L1498" s="3">
        <v>39</v>
      </c>
      <c r="M1498" s="3" t="s">
        <v>2150</v>
      </c>
      <c r="N1498" s="3" t="s">
        <v>2150</v>
      </c>
      <c r="O1498" s="5"/>
      <c r="P1498" s="3" t="s">
        <v>22</v>
      </c>
      <c r="Q1498" s="7"/>
      <c r="R1498" s="7"/>
    </row>
    <row r="1499" spans="1:18" ht="114.75" x14ac:dyDescent="0.25">
      <c r="A1499" s="3" t="s">
        <v>18</v>
      </c>
      <c r="B1499" s="3">
        <v>2013</v>
      </c>
      <c r="C1499" s="3" t="s">
        <v>2058</v>
      </c>
      <c r="D1499" s="3" t="str">
        <f>"646 / 2013"</f>
        <v>646 / 2013</v>
      </c>
      <c r="E1499" s="4">
        <v>41612</v>
      </c>
      <c r="F1499" s="3" t="s">
        <v>3302</v>
      </c>
      <c r="G1499" s="5"/>
      <c r="H1499" s="3" t="s">
        <v>3303</v>
      </c>
      <c r="I1499" s="3">
        <v>35</v>
      </c>
      <c r="J1499" s="4">
        <v>41604</v>
      </c>
      <c r="K1499" s="6">
        <v>0.47916666666666669</v>
      </c>
      <c r="L1499" s="3">
        <v>40</v>
      </c>
      <c r="M1499" s="3" t="s">
        <v>2150</v>
      </c>
      <c r="N1499" s="3" t="s">
        <v>2150</v>
      </c>
      <c r="O1499" s="5"/>
      <c r="P1499" s="3" t="s">
        <v>22</v>
      </c>
      <c r="Q1499" s="7"/>
      <c r="R1499" s="7"/>
    </row>
    <row r="1500" spans="1:18" ht="76.5" x14ac:dyDescent="0.25">
      <c r="A1500" s="3" t="s">
        <v>18</v>
      </c>
      <c r="B1500" s="3">
        <v>2013</v>
      </c>
      <c r="C1500" s="3" t="s">
        <v>2058</v>
      </c>
      <c r="D1500" s="3" t="str">
        <f>"647 / 2013"</f>
        <v>647 / 2013</v>
      </c>
      <c r="E1500" s="4">
        <v>41606</v>
      </c>
      <c r="F1500" s="3" t="s">
        <v>3304</v>
      </c>
      <c r="G1500" s="5"/>
      <c r="H1500" s="3" t="s">
        <v>3305</v>
      </c>
      <c r="I1500" s="3">
        <v>35</v>
      </c>
      <c r="J1500" s="4">
        <v>41604</v>
      </c>
      <c r="K1500" s="6">
        <v>0.47916666666666669</v>
      </c>
      <c r="L1500" s="3">
        <v>41</v>
      </c>
      <c r="M1500" s="3" t="s">
        <v>2110</v>
      </c>
      <c r="N1500" s="3" t="s">
        <v>2110</v>
      </c>
      <c r="O1500" s="5"/>
      <c r="P1500" s="3" t="s">
        <v>22</v>
      </c>
      <c r="Q1500" s="7"/>
      <c r="R1500" s="7"/>
    </row>
    <row r="1501" spans="1:18" ht="51" x14ac:dyDescent="0.25">
      <c r="A1501" s="3" t="s">
        <v>18</v>
      </c>
      <c r="B1501" s="3">
        <v>2013</v>
      </c>
      <c r="C1501" s="3" t="s">
        <v>2058</v>
      </c>
      <c r="D1501" s="3" t="str">
        <f>"648 / 2012"</f>
        <v>648 / 2012</v>
      </c>
      <c r="E1501" s="4">
        <v>41298</v>
      </c>
      <c r="F1501" s="3" t="s">
        <v>3306</v>
      </c>
      <c r="G1501" s="5"/>
      <c r="H1501" s="3" t="s">
        <v>3307</v>
      </c>
      <c r="I1501" s="3">
        <v>38</v>
      </c>
      <c r="J1501" s="4">
        <v>41257</v>
      </c>
      <c r="K1501" s="6">
        <v>0.5</v>
      </c>
      <c r="L1501" s="3">
        <v>2</v>
      </c>
      <c r="M1501" s="5"/>
      <c r="N1501" s="3" t="s">
        <v>2110</v>
      </c>
      <c r="O1501" s="5"/>
      <c r="P1501" s="3" t="s">
        <v>22</v>
      </c>
      <c r="Q1501" s="7"/>
      <c r="R1501" s="7"/>
    </row>
    <row r="1502" spans="1:18" ht="102" x14ac:dyDescent="0.25">
      <c r="A1502" s="3" t="s">
        <v>18</v>
      </c>
      <c r="B1502" s="3">
        <v>2013</v>
      </c>
      <c r="C1502" s="3" t="s">
        <v>2058</v>
      </c>
      <c r="D1502" s="3" t="str">
        <f>"648 / 2013"</f>
        <v>648 / 2013</v>
      </c>
      <c r="E1502" s="4">
        <v>41605</v>
      </c>
      <c r="F1502" s="3" t="s">
        <v>3308</v>
      </c>
      <c r="G1502" s="5"/>
      <c r="H1502" s="3" t="s">
        <v>3309</v>
      </c>
      <c r="I1502" s="3">
        <v>35</v>
      </c>
      <c r="J1502" s="4">
        <v>41604</v>
      </c>
      <c r="K1502" s="6">
        <v>0.47916666666666669</v>
      </c>
      <c r="L1502" s="3">
        <v>42</v>
      </c>
      <c r="M1502" s="3" t="s">
        <v>2110</v>
      </c>
      <c r="N1502" s="3" t="s">
        <v>2110</v>
      </c>
      <c r="O1502" s="5"/>
      <c r="P1502" s="3" t="s">
        <v>22</v>
      </c>
      <c r="Q1502" s="7"/>
      <c r="R1502" s="7"/>
    </row>
    <row r="1503" spans="1:18" ht="76.5" x14ac:dyDescent="0.25">
      <c r="A1503" s="3" t="s">
        <v>18</v>
      </c>
      <c r="B1503" s="3">
        <v>2013</v>
      </c>
      <c r="C1503" s="3" t="s">
        <v>2058</v>
      </c>
      <c r="D1503" s="3" t="str">
        <f>"649 / 2013"</f>
        <v>649 / 2013</v>
      </c>
      <c r="E1503" s="4">
        <v>41605</v>
      </c>
      <c r="F1503" s="3" t="s">
        <v>3310</v>
      </c>
      <c r="G1503" s="5"/>
      <c r="H1503" s="3" t="s">
        <v>3311</v>
      </c>
      <c r="I1503" s="3">
        <v>35</v>
      </c>
      <c r="J1503" s="4">
        <v>41604</v>
      </c>
      <c r="K1503" s="6">
        <v>0.47916666666666669</v>
      </c>
      <c r="L1503" s="3">
        <v>43</v>
      </c>
      <c r="M1503" s="3" t="s">
        <v>2110</v>
      </c>
      <c r="N1503" s="3" t="s">
        <v>2110</v>
      </c>
      <c r="O1503" s="5"/>
      <c r="P1503" s="3" t="s">
        <v>22</v>
      </c>
      <c r="Q1503" s="7"/>
      <c r="R1503" s="7"/>
    </row>
    <row r="1504" spans="1:18" ht="76.5" x14ac:dyDescent="0.25">
      <c r="A1504" s="3" t="s">
        <v>18</v>
      </c>
      <c r="B1504" s="3">
        <v>2013</v>
      </c>
      <c r="C1504" s="3" t="s">
        <v>2058</v>
      </c>
      <c r="D1504" s="3" t="str">
        <f>"65 / 2013"</f>
        <v>65 / 2013</v>
      </c>
      <c r="E1504" s="4">
        <v>41332</v>
      </c>
      <c r="F1504" s="3" t="s">
        <v>3312</v>
      </c>
      <c r="G1504" s="5"/>
      <c r="H1504" s="3" t="s">
        <v>3313</v>
      </c>
      <c r="I1504" s="3">
        <v>5</v>
      </c>
      <c r="J1504" s="4">
        <v>41319</v>
      </c>
      <c r="K1504" s="6">
        <v>0.5</v>
      </c>
      <c r="L1504" s="3">
        <v>6</v>
      </c>
      <c r="M1504" s="3" t="s">
        <v>2122</v>
      </c>
      <c r="N1504" s="3" t="s">
        <v>2122</v>
      </c>
      <c r="O1504" s="5"/>
      <c r="P1504" s="3" t="s">
        <v>22</v>
      </c>
      <c r="Q1504" s="7"/>
      <c r="R1504" s="7"/>
    </row>
    <row r="1505" spans="1:18" ht="63.75" x14ac:dyDescent="0.25">
      <c r="A1505" s="3" t="s">
        <v>18</v>
      </c>
      <c r="B1505" s="3">
        <v>2013</v>
      </c>
      <c r="C1505" s="3" t="s">
        <v>2058</v>
      </c>
      <c r="D1505" s="3" t="str">
        <f>"650/ 2013"</f>
        <v>650/ 2013</v>
      </c>
      <c r="E1505" s="4">
        <v>41607</v>
      </c>
      <c r="F1505" s="3" t="s">
        <v>3314</v>
      </c>
      <c r="G1505" s="5"/>
      <c r="H1505" s="3" t="s">
        <v>3315</v>
      </c>
      <c r="I1505" s="3">
        <v>35</v>
      </c>
      <c r="J1505" s="4">
        <v>41604</v>
      </c>
      <c r="K1505" s="6">
        <v>0.47916666666666669</v>
      </c>
      <c r="L1505" s="5"/>
      <c r="M1505" s="3" t="s">
        <v>3316</v>
      </c>
      <c r="N1505" s="3" t="s">
        <v>3316</v>
      </c>
      <c r="O1505" s="5"/>
      <c r="P1505" s="3" t="s">
        <v>74</v>
      </c>
      <c r="Q1505" s="7"/>
      <c r="R1505" s="7"/>
    </row>
    <row r="1506" spans="1:18" ht="63.75" x14ac:dyDescent="0.25">
      <c r="A1506" s="3" t="s">
        <v>18</v>
      </c>
      <c r="B1506" s="3">
        <v>2013</v>
      </c>
      <c r="C1506" s="3" t="s">
        <v>2058</v>
      </c>
      <c r="D1506" s="3" t="str">
        <f>"651 / 2013"</f>
        <v>651 / 2013</v>
      </c>
      <c r="E1506" s="4">
        <v>41605</v>
      </c>
      <c r="F1506" s="3" t="s">
        <v>3317</v>
      </c>
      <c r="G1506" s="5"/>
      <c r="H1506" s="3" t="s">
        <v>3318</v>
      </c>
      <c r="I1506" s="3">
        <v>35</v>
      </c>
      <c r="J1506" s="4">
        <v>41604</v>
      </c>
      <c r="K1506" s="6">
        <v>0.47916666666666669</v>
      </c>
      <c r="L1506" s="5"/>
      <c r="M1506" s="3" t="s">
        <v>3316</v>
      </c>
      <c r="N1506" s="3" t="s">
        <v>3316</v>
      </c>
      <c r="O1506" s="5"/>
      <c r="P1506" s="3" t="s">
        <v>74</v>
      </c>
      <c r="Q1506" s="7"/>
      <c r="R1506" s="7"/>
    </row>
    <row r="1507" spans="1:18" ht="89.25" x14ac:dyDescent="0.25">
      <c r="A1507" s="3" t="s">
        <v>18</v>
      </c>
      <c r="B1507" s="3">
        <v>2013</v>
      </c>
      <c r="C1507" s="3" t="s">
        <v>2058</v>
      </c>
      <c r="D1507" s="3" t="str">
        <f>"652 / 2013"</f>
        <v>652 / 2013</v>
      </c>
      <c r="E1507" s="4">
        <v>41606</v>
      </c>
      <c r="F1507" s="3" t="s">
        <v>3319</v>
      </c>
      <c r="G1507" s="5"/>
      <c r="H1507" s="3" t="s">
        <v>3320</v>
      </c>
      <c r="I1507" s="3">
        <v>35</v>
      </c>
      <c r="J1507" s="4">
        <v>41604</v>
      </c>
      <c r="K1507" s="6">
        <v>0.47916666666666669</v>
      </c>
      <c r="L1507" s="5"/>
      <c r="M1507" s="3" t="s">
        <v>3321</v>
      </c>
      <c r="N1507" s="3" t="s">
        <v>3321</v>
      </c>
      <c r="O1507" s="5"/>
      <c r="P1507" s="3" t="s">
        <v>74</v>
      </c>
      <c r="Q1507" s="7"/>
      <c r="R1507" s="7"/>
    </row>
    <row r="1508" spans="1:18" ht="89.25" x14ac:dyDescent="0.25">
      <c r="A1508" s="3" t="s">
        <v>18</v>
      </c>
      <c r="B1508" s="3">
        <v>2013</v>
      </c>
      <c r="C1508" s="3" t="s">
        <v>2058</v>
      </c>
      <c r="D1508" s="3" t="str">
        <f>"653 / 2013"</f>
        <v>653 / 2013</v>
      </c>
      <c r="E1508" s="4">
        <v>41611</v>
      </c>
      <c r="F1508" s="3" t="s">
        <v>3322</v>
      </c>
      <c r="G1508" s="5"/>
      <c r="H1508" s="3" t="s">
        <v>3323</v>
      </c>
      <c r="I1508" s="3">
        <v>35</v>
      </c>
      <c r="J1508" s="4">
        <v>41604</v>
      </c>
      <c r="K1508" s="6">
        <v>0.47916666666666669</v>
      </c>
      <c r="L1508" s="5"/>
      <c r="M1508" s="3" t="s">
        <v>2061</v>
      </c>
      <c r="N1508" s="3" t="s">
        <v>2061</v>
      </c>
      <c r="O1508" s="5"/>
      <c r="P1508" s="3" t="s">
        <v>74</v>
      </c>
      <c r="Q1508" s="7"/>
      <c r="R1508" s="7"/>
    </row>
    <row r="1509" spans="1:18" ht="89.25" x14ac:dyDescent="0.25">
      <c r="A1509" s="3" t="s">
        <v>18</v>
      </c>
      <c r="B1509" s="3">
        <v>2013</v>
      </c>
      <c r="C1509" s="3" t="s">
        <v>2058</v>
      </c>
      <c r="D1509" s="3" t="str">
        <f>"654 / 2013"</f>
        <v>654 / 2013</v>
      </c>
      <c r="E1509" s="4">
        <v>41611</v>
      </c>
      <c r="F1509" s="3" t="s">
        <v>3324</v>
      </c>
      <c r="G1509" s="5"/>
      <c r="H1509" s="3" t="s">
        <v>3325</v>
      </c>
      <c r="I1509" s="3">
        <v>35</v>
      </c>
      <c r="J1509" s="4">
        <v>41604</v>
      </c>
      <c r="K1509" s="6">
        <v>0.47916666666666669</v>
      </c>
      <c r="L1509" s="5"/>
      <c r="M1509" s="3" t="s">
        <v>2061</v>
      </c>
      <c r="N1509" s="3" t="s">
        <v>2061</v>
      </c>
      <c r="O1509" s="5"/>
      <c r="P1509" s="3" t="s">
        <v>74</v>
      </c>
      <c r="Q1509" s="7"/>
      <c r="R1509" s="7"/>
    </row>
    <row r="1510" spans="1:18" ht="102" x14ac:dyDescent="0.25">
      <c r="A1510" s="3" t="s">
        <v>18</v>
      </c>
      <c r="B1510" s="3">
        <v>2013</v>
      </c>
      <c r="C1510" s="3" t="s">
        <v>2058</v>
      </c>
      <c r="D1510" s="3" t="str">
        <f>"655 / 2013"</f>
        <v>655 / 2013</v>
      </c>
      <c r="E1510" s="4">
        <v>41606</v>
      </c>
      <c r="F1510" s="3" t="s">
        <v>3326</v>
      </c>
      <c r="G1510" s="5"/>
      <c r="H1510" s="3" t="s">
        <v>3327</v>
      </c>
      <c r="I1510" s="3">
        <v>35</v>
      </c>
      <c r="J1510" s="4">
        <v>41604</v>
      </c>
      <c r="K1510" s="6">
        <v>0.47916666666666669</v>
      </c>
      <c r="L1510" s="5"/>
      <c r="M1510" s="3" t="s">
        <v>2061</v>
      </c>
      <c r="N1510" s="3" t="s">
        <v>2061</v>
      </c>
      <c r="O1510" s="5"/>
      <c r="P1510" s="3" t="s">
        <v>74</v>
      </c>
      <c r="Q1510" s="7"/>
      <c r="R1510" s="7"/>
    </row>
    <row r="1511" spans="1:18" ht="51" x14ac:dyDescent="0.25">
      <c r="A1511" s="3" t="s">
        <v>18</v>
      </c>
      <c r="B1511" s="3">
        <v>2013</v>
      </c>
      <c r="C1511" s="3" t="s">
        <v>2058</v>
      </c>
      <c r="D1511" s="3" t="str">
        <f>"656 / 2013"</f>
        <v>656 / 2013</v>
      </c>
      <c r="E1511" s="4">
        <v>41604</v>
      </c>
      <c r="F1511" s="3" t="s">
        <v>3328</v>
      </c>
      <c r="G1511" s="5"/>
      <c r="H1511" s="3" t="s">
        <v>3329</v>
      </c>
      <c r="I1511" s="3">
        <v>35</v>
      </c>
      <c r="J1511" s="4">
        <v>41604</v>
      </c>
      <c r="K1511" s="6">
        <v>0.47916666666666669</v>
      </c>
      <c r="L1511" s="5"/>
      <c r="M1511" s="3" t="s">
        <v>2110</v>
      </c>
      <c r="N1511" s="3" t="s">
        <v>2110</v>
      </c>
      <c r="O1511" s="5"/>
      <c r="P1511" s="3" t="s">
        <v>74</v>
      </c>
      <c r="Q1511" s="7"/>
      <c r="R1511" s="7"/>
    </row>
    <row r="1512" spans="1:18" ht="51" x14ac:dyDescent="0.25">
      <c r="A1512" s="3" t="s">
        <v>18</v>
      </c>
      <c r="B1512" s="3">
        <v>2013</v>
      </c>
      <c r="C1512" s="3" t="s">
        <v>2058</v>
      </c>
      <c r="D1512" s="3" t="str">
        <f>"657 / 2013"</f>
        <v>657 / 2013</v>
      </c>
      <c r="E1512" s="4">
        <v>41605</v>
      </c>
      <c r="F1512" s="3" t="s">
        <v>3330</v>
      </c>
      <c r="G1512" s="5"/>
      <c r="H1512" s="3" t="s">
        <v>3331</v>
      </c>
      <c r="I1512" s="3">
        <v>35</v>
      </c>
      <c r="J1512" s="4">
        <v>41604</v>
      </c>
      <c r="K1512" s="6">
        <v>0.47916666666666669</v>
      </c>
      <c r="L1512" s="5"/>
      <c r="M1512" s="3" t="s">
        <v>2099</v>
      </c>
      <c r="N1512" s="3" t="s">
        <v>2099</v>
      </c>
      <c r="O1512" s="5"/>
      <c r="P1512" s="3" t="s">
        <v>74</v>
      </c>
      <c r="Q1512" s="7"/>
      <c r="R1512" s="7"/>
    </row>
    <row r="1513" spans="1:18" ht="102" x14ac:dyDescent="0.25">
      <c r="A1513" s="3" t="s">
        <v>18</v>
      </c>
      <c r="B1513" s="3">
        <v>2013</v>
      </c>
      <c r="C1513" s="3" t="s">
        <v>2058</v>
      </c>
      <c r="D1513" s="3" t="str">
        <f>"658 / 2013"</f>
        <v>658 / 2013</v>
      </c>
      <c r="E1513" s="4">
        <v>41617</v>
      </c>
      <c r="F1513" s="3" t="s">
        <v>3332</v>
      </c>
      <c r="G1513" s="5"/>
      <c r="H1513" s="3" t="s">
        <v>3333</v>
      </c>
      <c r="I1513" s="3">
        <v>36</v>
      </c>
      <c r="J1513" s="4">
        <v>41613</v>
      </c>
      <c r="K1513" s="6">
        <v>0.47916666666666669</v>
      </c>
      <c r="L1513" s="3">
        <v>1</v>
      </c>
      <c r="M1513" s="3" t="s">
        <v>2159</v>
      </c>
      <c r="N1513" s="3" t="s">
        <v>2159</v>
      </c>
      <c r="O1513" s="5"/>
      <c r="P1513" s="3" t="s">
        <v>22</v>
      </c>
      <c r="Q1513" s="7"/>
      <c r="R1513" s="7"/>
    </row>
    <row r="1514" spans="1:18" ht="63.75" x14ac:dyDescent="0.25">
      <c r="A1514" s="3" t="s">
        <v>18</v>
      </c>
      <c r="B1514" s="3">
        <v>2013</v>
      </c>
      <c r="C1514" s="3" t="s">
        <v>2058</v>
      </c>
      <c r="D1514" s="3" t="str">
        <f>"659 / 2013"</f>
        <v>659 / 2013</v>
      </c>
      <c r="E1514" s="4">
        <v>41614</v>
      </c>
      <c r="F1514" s="3" t="s">
        <v>3334</v>
      </c>
      <c r="G1514" s="5"/>
      <c r="H1514" s="3" t="s">
        <v>3335</v>
      </c>
      <c r="I1514" s="3">
        <v>36</v>
      </c>
      <c r="J1514" s="4">
        <v>41613</v>
      </c>
      <c r="K1514" s="6">
        <v>0.47916666666666669</v>
      </c>
      <c r="L1514" s="3">
        <v>2</v>
      </c>
      <c r="M1514" s="3" t="s">
        <v>2437</v>
      </c>
      <c r="N1514" s="3" t="s">
        <v>2437</v>
      </c>
      <c r="O1514" s="5"/>
      <c r="P1514" s="3" t="s">
        <v>22</v>
      </c>
      <c r="Q1514" s="7"/>
      <c r="R1514" s="7"/>
    </row>
    <row r="1515" spans="1:18" ht="51" x14ac:dyDescent="0.25">
      <c r="A1515" s="3" t="s">
        <v>18</v>
      </c>
      <c r="B1515" s="3">
        <v>2013</v>
      </c>
      <c r="C1515" s="3" t="s">
        <v>2058</v>
      </c>
      <c r="D1515" s="3" t="str">
        <f>"66 / 2013"</f>
        <v>66 / 2013</v>
      </c>
      <c r="E1515" s="4">
        <v>41323</v>
      </c>
      <c r="F1515" s="3" t="s">
        <v>3336</v>
      </c>
      <c r="G1515" s="5"/>
      <c r="H1515" s="3" t="s">
        <v>3337</v>
      </c>
      <c r="I1515" s="3">
        <v>5</v>
      </c>
      <c r="J1515" s="4">
        <v>41319</v>
      </c>
      <c r="K1515" s="6">
        <v>0.5</v>
      </c>
      <c r="L1515" s="3">
        <v>7</v>
      </c>
      <c r="M1515" s="3" t="s">
        <v>3110</v>
      </c>
      <c r="N1515" s="3" t="s">
        <v>3110</v>
      </c>
      <c r="O1515" s="5"/>
      <c r="P1515" s="3" t="s">
        <v>22</v>
      </c>
      <c r="Q1515" s="7"/>
      <c r="R1515" s="7"/>
    </row>
    <row r="1516" spans="1:18" ht="89.25" x14ac:dyDescent="0.25">
      <c r="A1516" s="3" t="s">
        <v>18</v>
      </c>
      <c r="B1516" s="3">
        <v>2013</v>
      </c>
      <c r="C1516" s="3" t="s">
        <v>2058</v>
      </c>
      <c r="D1516" s="3" t="str">
        <f>"660 / 2013"</f>
        <v>660 / 2013</v>
      </c>
      <c r="E1516" s="4">
        <v>41618</v>
      </c>
      <c r="F1516" s="3" t="s">
        <v>3338</v>
      </c>
      <c r="G1516" s="5"/>
      <c r="H1516" s="3" t="s">
        <v>3339</v>
      </c>
      <c r="I1516" s="3">
        <v>36</v>
      </c>
      <c r="J1516" s="4">
        <v>41613</v>
      </c>
      <c r="K1516" s="6">
        <v>0.47916666666666669</v>
      </c>
      <c r="L1516" s="3">
        <v>3</v>
      </c>
      <c r="M1516" s="3" t="s">
        <v>3340</v>
      </c>
      <c r="N1516" s="3" t="s">
        <v>3340</v>
      </c>
      <c r="O1516" s="5"/>
      <c r="P1516" s="3" t="s">
        <v>22</v>
      </c>
      <c r="Q1516" s="7"/>
      <c r="R1516" s="7"/>
    </row>
    <row r="1517" spans="1:18" ht="89.25" x14ac:dyDescent="0.25">
      <c r="A1517" s="3" t="s">
        <v>18</v>
      </c>
      <c r="B1517" s="3">
        <v>2013</v>
      </c>
      <c r="C1517" s="3" t="s">
        <v>2058</v>
      </c>
      <c r="D1517" s="3" t="str">
        <f>"661 / 2013"</f>
        <v>661 / 2013</v>
      </c>
      <c r="E1517" s="4">
        <v>41614</v>
      </c>
      <c r="F1517" s="3" t="s">
        <v>3341</v>
      </c>
      <c r="G1517" s="5"/>
      <c r="H1517" s="3" t="s">
        <v>3342</v>
      </c>
      <c r="I1517" s="3">
        <v>36</v>
      </c>
      <c r="J1517" s="4">
        <v>41613</v>
      </c>
      <c r="K1517" s="6">
        <v>0.47916666666666669</v>
      </c>
      <c r="L1517" s="3">
        <v>4</v>
      </c>
      <c r="M1517" s="3" t="s">
        <v>2110</v>
      </c>
      <c r="N1517" s="3" t="s">
        <v>2110</v>
      </c>
      <c r="O1517" s="5"/>
      <c r="P1517" s="3" t="s">
        <v>22</v>
      </c>
      <c r="Q1517" s="7"/>
      <c r="R1517" s="7"/>
    </row>
    <row r="1518" spans="1:18" ht="51" x14ac:dyDescent="0.25">
      <c r="A1518" s="3" t="s">
        <v>18</v>
      </c>
      <c r="B1518" s="3">
        <v>2013</v>
      </c>
      <c r="C1518" s="3" t="s">
        <v>2058</v>
      </c>
      <c r="D1518" s="3" t="str">
        <f>"662 / 2013"</f>
        <v>662 / 2013</v>
      </c>
      <c r="E1518" s="4">
        <v>41614</v>
      </c>
      <c r="F1518" s="3" t="s">
        <v>3343</v>
      </c>
      <c r="G1518" s="5"/>
      <c r="H1518" s="3" t="s">
        <v>3344</v>
      </c>
      <c r="I1518" s="3">
        <v>36</v>
      </c>
      <c r="J1518" s="4">
        <v>41613</v>
      </c>
      <c r="K1518" s="6">
        <v>0.47916666666666669</v>
      </c>
      <c r="L1518" s="3">
        <v>5</v>
      </c>
      <c r="M1518" s="3" t="s">
        <v>2507</v>
      </c>
      <c r="N1518" s="3" t="s">
        <v>2507</v>
      </c>
      <c r="O1518" s="5"/>
      <c r="P1518" s="3" t="s">
        <v>22</v>
      </c>
      <c r="Q1518" s="7"/>
      <c r="R1518" s="7"/>
    </row>
    <row r="1519" spans="1:18" ht="127.5" x14ac:dyDescent="0.25">
      <c r="A1519" s="3" t="s">
        <v>18</v>
      </c>
      <c r="B1519" s="3">
        <v>2013</v>
      </c>
      <c r="C1519" s="3" t="s">
        <v>2058</v>
      </c>
      <c r="D1519" s="3" t="str">
        <f>"663 / 2013"</f>
        <v>663 / 2013</v>
      </c>
      <c r="E1519" s="4">
        <v>41617</v>
      </c>
      <c r="F1519" s="3" t="s">
        <v>3345</v>
      </c>
      <c r="G1519" s="5"/>
      <c r="H1519" s="3" t="s">
        <v>3346</v>
      </c>
      <c r="I1519" s="3">
        <v>36</v>
      </c>
      <c r="J1519" s="4">
        <v>41613</v>
      </c>
      <c r="K1519" s="6">
        <v>0.47916666666666669</v>
      </c>
      <c r="L1519" s="3">
        <v>6</v>
      </c>
      <c r="M1519" s="3" t="s">
        <v>3347</v>
      </c>
      <c r="N1519" s="3" t="s">
        <v>3347</v>
      </c>
      <c r="O1519" s="5"/>
      <c r="P1519" s="3" t="s">
        <v>22</v>
      </c>
      <c r="Q1519" s="7"/>
      <c r="R1519" s="7"/>
    </row>
    <row r="1520" spans="1:18" ht="51" x14ac:dyDescent="0.25">
      <c r="A1520" s="3" t="s">
        <v>18</v>
      </c>
      <c r="B1520" s="3">
        <v>2013</v>
      </c>
      <c r="C1520" s="3" t="s">
        <v>2058</v>
      </c>
      <c r="D1520" s="3" t="str">
        <f>"664 / 2013"</f>
        <v>664 / 2013</v>
      </c>
      <c r="E1520" s="4">
        <v>41614</v>
      </c>
      <c r="F1520" s="3" t="s">
        <v>3348</v>
      </c>
      <c r="G1520" s="5"/>
      <c r="H1520" s="3" t="s">
        <v>3349</v>
      </c>
      <c r="I1520" s="3">
        <v>36</v>
      </c>
      <c r="J1520" s="4">
        <v>41613</v>
      </c>
      <c r="K1520" s="6">
        <v>0.47916666666666669</v>
      </c>
      <c r="L1520" s="3">
        <v>7</v>
      </c>
      <c r="M1520" s="3" t="s">
        <v>2110</v>
      </c>
      <c r="N1520" s="3" t="s">
        <v>2110</v>
      </c>
      <c r="O1520" s="5"/>
      <c r="P1520" s="3" t="s">
        <v>22</v>
      </c>
      <c r="Q1520" s="7"/>
      <c r="R1520" s="7"/>
    </row>
    <row r="1521" spans="1:18" ht="89.25" x14ac:dyDescent="0.25">
      <c r="A1521" s="3" t="s">
        <v>18</v>
      </c>
      <c r="B1521" s="3">
        <v>2013</v>
      </c>
      <c r="C1521" s="3" t="s">
        <v>2058</v>
      </c>
      <c r="D1521" s="3" t="str">
        <f>"665/ 2013"</f>
        <v>665/ 2013</v>
      </c>
      <c r="E1521" s="4">
        <v>41614</v>
      </c>
      <c r="F1521" s="3" t="s">
        <v>3350</v>
      </c>
      <c r="G1521" s="5"/>
      <c r="H1521" s="3" t="s">
        <v>3351</v>
      </c>
      <c r="I1521" s="3">
        <v>36</v>
      </c>
      <c r="J1521" s="4">
        <v>41613</v>
      </c>
      <c r="K1521" s="6">
        <v>0.47916666666666669</v>
      </c>
      <c r="L1521" s="3">
        <v>8</v>
      </c>
      <c r="M1521" s="3" t="s">
        <v>2099</v>
      </c>
      <c r="N1521" s="3" t="s">
        <v>2099</v>
      </c>
      <c r="O1521" s="5"/>
      <c r="P1521" s="3" t="s">
        <v>22</v>
      </c>
      <c r="Q1521" s="7"/>
      <c r="R1521" s="7"/>
    </row>
    <row r="1522" spans="1:18" ht="153" x14ac:dyDescent="0.25">
      <c r="A1522" s="3" t="s">
        <v>18</v>
      </c>
      <c r="B1522" s="3">
        <v>2013</v>
      </c>
      <c r="C1522" s="3" t="s">
        <v>2058</v>
      </c>
      <c r="D1522" s="3" t="str">
        <f>"666 / 2013"</f>
        <v>666 / 2013</v>
      </c>
      <c r="E1522" s="4">
        <v>41618</v>
      </c>
      <c r="F1522" s="3" t="s">
        <v>3352</v>
      </c>
      <c r="G1522" s="5"/>
      <c r="H1522" s="3" t="s">
        <v>3353</v>
      </c>
      <c r="I1522" s="3">
        <v>36</v>
      </c>
      <c r="J1522" s="4">
        <v>41613</v>
      </c>
      <c r="K1522" s="6">
        <v>0.47916666666666669</v>
      </c>
      <c r="L1522" s="3">
        <v>9</v>
      </c>
      <c r="M1522" s="3" t="s">
        <v>2061</v>
      </c>
      <c r="N1522" s="3" t="s">
        <v>2061</v>
      </c>
      <c r="O1522" s="5"/>
      <c r="P1522" s="3" t="s">
        <v>22</v>
      </c>
      <c r="Q1522" s="7"/>
      <c r="R1522" s="7"/>
    </row>
    <row r="1523" spans="1:18" ht="63.75" x14ac:dyDescent="0.25">
      <c r="A1523" s="3" t="s">
        <v>18</v>
      </c>
      <c r="B1523" s="3">
        <v>2013</v>
      </c>
      <c r="C1523" s="3" t="s">
        <v>2058</v>
      </c>
      <c r="D1523" s="3" t="str">
        <f>"667 / 2012"</f>
        <v>667 / 2012</v>
      </c>
      <c r="E1523" s="4">
        <v>41290</v>
      </c>
      <c r="F1523" s="3" t="s">
        <v>3354</v>
      </c>
      <c r="G1523" s="5"/>
      <c r="H1523" s="3" t="s">
        <v>3355</v>
      </c>
      <c r="I1523" s="3">
        <v>39</v>
      </c>
      <c r="J1523" s="4">
        <v>41263</v>
      </c>
      <c r="K1523" s="6">
        <v>0.5</v>
      </c>
      <c r="L1523" s="3">
        <v>7</v>
      </c>
      <c r="M1523" s="5"/>
      <c r="N1523" s="3" t="s">
        <v>2117</v>
      </c>
      <c r="O1523" s="5"/>
      <c r="P1523" s="3" t="s">
        <v>22</v>
      </c>
      <c r="Q1523" s="7"/>
      <c r="R1523" s="7"/>
    </row>
    <row r="1524" spans="1:18" ht="76.5" x14ac:dyDescent="0.25">
      <c r="A1524" s="3" t="s">
        <v>18</v>
      </c>
      <c r="B1524" s="3">
        <v>2013</v>
      </c>
      <c r="C1524" s="3" t="s">
        <v>2058</v>
      </c>
      <c r="D1524" s="3" t="str">
        <f>"667 / 2013"</f>
        <v>667 / 2013</v>
      </c>
      <c r="E1524" s="4">
        <v>41620</v>
      </c>
      <c r="F1524" s="3" t="s">
        <v>3356</v>
      </c>
      <c r="G1524" s="5"/>
      <c r="H1524" s="3" t="s">
        <v>3357</v>
      </c>
      <c r="I1524" s="3">
        <v>36</v>
      </c>
      <c r="J1524" s="4">
        <v>41613</v>
      </c>
      <c r="K1524" s="6">
        <v>0.47916666666666669</v>
      </c>
      <c r="L1524" s="3">
        <v>10</v>
      </c>
      <c r="M1524" s="3" t="s">
        <v>2445</v>
      </c>
      <c r="N1524" s="3" t="s">
        <v>2445</v>
      </c>
      <c r="O1524" s="5"/>
      <c r="P1524" s="3" t="s">
        <v>22</v>
      </c>
      <c r="Q1524" s="7"/>
      <c r="R1524" s="7"/>
    </row>
    <row r="1525" spans="1:18" ht="63.75" x14ac:dyDescent="0.25">
      <c r="A1525" s="3" t="s">
        <v>18</v>
      </c>
      <c r="B1525" s="3">
        <v>2013</v>
      </c>
      <c r="C1525" s="3" t="s">
        <v>2058</v>
      </c>
      <c r="D1525" s="3" t="str">
        <f>"668 / 2013"</f>
        <v>668 / 2013</v>
      </c>
      <c r="E1525" s="4">
        <v>41618</v>
      </c>
      <c r="F1525" s="3" t="s">
        <v>3358</v>
      </c>
      <c r="G1525" s="5"/>
      <c r="H1525" s="3" t="s">
        <v>3359</v>
      </c>
      <c r="I1525" s="3">
        <v>36</v>
      </c>
      <c r="J1525" s="4">
        <v>41613</v>
      </c>
      <c r="K1525" s="6">
        <v>0.47916666666666669</v>
      </c>
      <c r="L1525" s="3">
        <v>11</v>
      </c>
      <c r="M1525" s="3" t="s">
        <v>2150</v>
      </c>
      <c r="N1525" s="3" t="s">
        <v>2150</v>
      </c>
      <c r="O1525" s="5"/>
      <c r="P1525" s="3" t="s">
        <v>22</v>
      </c>
      <c r="Q1525" s="7"/>
      <c r="R1525" s="7"/>
    </row>
    <row r="1526" spans="1:18" ht="63.75" x14ac:dyDescent="0.25">
      <c r="A1526" s="3" t="s">
        <v>18</v>
      </c>
      <c r="B1526" s="3">
        <v>2013</v>
      </c>
      <c r="C1526" s="3" t="s">
        <v>2058</v>
      </c>
      <c r="D1526" s="3" t="str">
        <f>"669 / 2012"</f>
        <v>669 / 2012</v>
      </c>
      <c r="E1526" s="4">
        <v>41290</v>
      </c>
      <c r="F1526" s="3" t="s">
        <v>3360</v>
      </c>
      <c r="G1526" s="5"/>
      <c r="H1526" s="3" t="s">
        <v>3361</v>
      </c>
      <c r="I1526" s="3">
        <v>39</v>
      </c>
      <c r="J1526" s="4">
        <v>41263</v>
      </c>
      <c r="K1526" s="6">
        <v>0.5</v>
      </c>
      <c r="L1526" s="3">
        <v>9</v>
      </c>
      <c r="M1526" s="5"/>
      <c r="N1526" s="3" t="s">
        <v>3362</v>
      </c>
      <c r="O1526" s="5"/>
      <c r="P1526" s="3" t="s">
        <v>22</v>
      </c>
      <c r="Q1526" s="7"/>
      <c r="R1526" s="7"/>
    </row>
    <row r="1527" spans="1:18" ht="51" x14ac:dyDescent="0.25">
      <c r="A1527" s="3" t="s">
        <v>18</v>
      </c>
      <c r="B1527" s="3">
        <v>2013</v>
      </c>
      <c r="C1527" s="3" t="s">
        <v>2058</v>
      </c>
      <c r="D1527" s="3" t="str">
        <f>"669 / 2013"</f>
        <v>669 / 2013</v>
      </c>
      <c r="E1527" s="4">
        <v>41617</v>
      </c>
      <c r="F1527" s="3" t="s">
        <v>3363</v>
      </c>
      <c r="G1527" s="5"/>
      <c r="H1527" s="3" t="s">
        <v>3364</v>
      </c>
      <c r="I1527" s="3">
        <v>36</v>
      </c>
      <c r="J1527" s="4">
        <v>41613</v>
      </c>
      <c r="K1527" s="6">
        <v>0.47916666666666669</v>
      </c>
      <c r="L1527" s="3">
        <v>12</v>
      </c>
      <c r="M1527" s="3" t="s">
        <v>2061</v>
      </c>
      <c r="N1527" s="3" t="s">
        <v>2061</v>
      </c>
      <c r="O1527" s="5"/>
      <c r="P1527" s="3" t="s">
        <v>22</v>
      </c>
      <c r="Q1527" s="7"/>
      <c r="R1527" s="7"/>
    </row>
    <row r="1528" spans="1:18" ht="216.75" x14ac:dyDescent="0.25">
      <c r="A1528" s="3" t="s">
        <v>18</v>
      </c>
      <c r="B1528" s="3">
        <v>2013</v>
      </c>
      <c r="C1528" s="3" t="s">
        <v>2058</v>
      </c>
      <c r="D1528" s="3" t="str">
        <f>"670 / 2012"</f>
        <v>670 / 2012</v>
      </c>
      <c r="E1528" s="4">
        <v>41297</v>
      </c>
      <c r="F1528" s="3" t="s">
        <v>3365</v>
      </c>
      <c r="G1528" s="5"/>
      <c r="H1528" s="3" t="s">
        <v>3366</v>
      </c>
      <c r="I1528" s="3">
        <v>39</v>
      </c>
      <c r="J1528" s="4">
        <v>41263</v>
      </c>
      <c r="K1528" s="6">
        <v>0.5</v>
      </c>
      <c r="L1528" s="3">
        <v>10</v>
      </c>
      <c r="M1528" s="5"/>
      <c r="N1528" s="3" t="s">
        <v>2074</v>
      </c>
      <c r="O1528" s="5"/>
      <c r="P1528" s="3" t="s">
        <v>22</v>
      </c>
      <c r="Q1528" s="7"/>
      <c r="R1528" s="7"/>
    </row>
    <row r="1529" spans="1:18" ht="140.25" x14ac:dyDescent="0.25">
      <c r="A1529" s="3" t="s">
        <v>18</v>
      </c>
      <c r="B1529" s="3">
        <v>2013</v>
      </c>
      <c r="C1529" s="3" t="s">
        <v>2058</v>
      </c>
      <c r="D1529" s="3" t="str">
        <f>"670 / 2013"</f>
        <v>670 / 2013</v>
      </c>
      <c r="E1529" s="4">
        <v>41619</v>
      </c>
      <c r="F1529" s="3" t="s">
        <v>3367</v>
      </c>
      <c r="G1529" s="5"/>
      <c r="H1529" s="3" t="s">
        <v>3368</v>
      </c>
      <c r="I1529" s="3">
        <v>36</v>
      </c>
      <c r="J1529" s="4">
        <v>41613</v>
      </c>
      <c r="K1529" s="6">
        <v>0.47916666666666669</v>
      </c>
      <c r="L1529" s="3">
        <v>13</v>
      </c>
      <c r="M1529" s="3" t="s">
        <v>3369</v>
      </c>
      <c r="N1529" s="3" t="s">
        <v>3369</v>
      </c>
      <c r="O1529" s="5"/>
      <c r="P1529" s="3" t="s">
        <v>22</v>
      </c>
      <c r="Q1529" s="7"/>
      <c r="R1529" s="7"/>
    </row>
    <row r="1530" spans="1:18" ht="63.75" x14ac:dyDescent="0.25">
      <c r="A1530" s="3" t="s">
        <v>18</v>
      </c>
      <c r="B1530" s="3">
        <v>2013</v>
      </c>
      <c r="C1530" s="3" t="s">
        <v>2058</v>
      </c>
      <c r="D1530" s="3" t="str">
        <f>"671 / 2013"</f>
        <v>671 / 2013</v>
      </c>
      <c r="E1530" s="4">
        <v>41617</v>
      </c>
      <c r="F1530" s="3" t="s">
        <v>3370</v>
      </c>
      <c r="G1530" s="5"/>
      <c r="H1530" s="3" t="s">
        <v>3371</v>
      </c>
      <c r="I1530" s="3">
        <v>36</v>
      </c>
      <c r="J1530" s="4">
        <v>41613</v>
      </c>
      <c r="K1530" s="6">
        <v>0.47916666666666669</v>
      </c>
      <c r="L1530" s="3">
        <v>14</v>
      </c>
      <c r="M1530" s="3" t="s">
        <v>2110</v>
      </c>
      <c r="N1530" s="3" t="s">
        <v>2110</v>
      </c>
      <c r="O1530" s="5"/>
      <c r="P1530" s="3" t="s">
        <v>22</v>
      </c>
      <c r="Q1530" s="7"/>
      <c r="R1530" s="7"/>
    </row>
    <row r="1531" spans="1:18" ht="89.25" x14ac:dyDescent="0.25">
      <c r="A1531" s="3" t="s">
        <v>18</v>
      </c>
      <c r="B1531" s="3">
        <v>2013</v>
      </c>
      <c r="C1531" s="3" t="s">
        <v>2058</v>
      </c>
      <c r="D1531" s="3" t="str">
        <f>"672 / 2013"</f>
        <v>672 / 2013</v>
      </c>
      <c r="E1531" s="4">
        <v>41617</v>
      </c>
      <c r="F1531" s="3" t="s">
        <v>3372</v>
      </c>
      <c r="G1531" s="5"/>
      <c r="H1531" s="3" t="s">
        <v>3373</v>
      </c>
      <c r="I1531" s="3">
        <v>36</v>
      </c>
      <c r="J1531" s="4">
        <v>41613</v>
      </c>
      <c r="K1531" s="6">
        <v>0.47916666666666669</v>
      </c>
      <c r="L1531" s="3">
        <v>15</v>
      </c>
      <c r="M1531" s="3" t="s">
        <v>2110</v>
      </c>
      <c r="N1531" s="3" t="s">
        <v>2110</v>
      </c>
      <c r="O1531" s="5"/>
      <c r="P1531" s="3" t="s">
        <v>22</v>
      </c>
      <c r="Q1531" s="7"/>
      <c r="R1531" s="7"/>
    </row>
    <row r="1532" spans="1:18" ht="51" x14ac:dyDescent="0.25">
      <c r="A1532" s="3" t="s">
        <v>18</v>
      </c>
      <c r="B1532" s="3">
        <v>2013</v>
      </c>
      <c r="C1532" s="3" t="s">
        <v>2058</v>
      </c>
      <c r="D1532" s="3" t="str">
        <f>"673 / 2013"</f>
        <v>673 / 2013</v>
      </c>
      <c r="E1532" s="4">
        <v>41614</v>
      </c>
      <c r="F1532" s="3" t="s">
        <v>3374</v>
      </c>
      <c r="G1532" s="5"/>
      <c r="H1532" s="3" t="s">
        <v>3375</v>
      </c>
      <c r="I1532" s="3">
        <v>36</v>
      </c>
      <c r="J1532" s="4">
        <v>41613</v>
      </c>
      <c r="K1532" s="6">
        <v>0.47916666666666669</v>
      </c>
      <c r="L1532" s="5"/>
      <c r="M1532" s="3" t="s">
        <v>3316</v>
      </c>
      <c r="N1532" s="3" t="s">
        <v>3316</v>
      </c>
      <c r="O1532" s="5"/>
      <c r="P1532" s="3" t="s">
        <v>22</v>
      </c>
      <c r="Q1532" s="7"/>
      <c r="R1532" s="7"/>
    </row>
    <row r="1533" spans="1:18" ht="127.5" x14ac:dyDescent="0.25">
      <c r="A1533" s="3" t="s">
        <v>18</v>
      </c>
      <c r="B1533" s="3">
        <v>2013</v>
      </c>
      <c r="C1533" s="3" t="s">
        <v>2058</v>
      </c>
      <c r="D1533" s="3" t="str">
        <f>"674/2013"</f>
        <v>674/2013</v>
      </c>
      <c r="E1533" s="4">
        <v>41614</v>
      </c>
      <c r="F1533" s="3" t="s">
        <v>3376</v>
      </c>
      <c r="G1533" s="5"/>
      <c r="H1533" s="3" t="s">
        <v>3377</v>
      </c>
      <c r="I1533" s="3">
        <v>36</v>
      </c>
      <c r="J1533" s="4">
        <v>41613</v>
      </c>
      <c r="K1533" s="6">
        <v>0.47916666666666669</v>
      </c>
      <c r="L1533" s="5"/>
      <c r="M1533" s="3" t="s">
        <v>3378</v>
      </c>
      <c r="N1533" s="3" t="s">
        <v>3378</v>
      </c>
      <c r="O1533" s="5"/>
      <c r="P1533" s="3" t="s">
        <v>74</v>
      </c>
      <c r="Q1533" s="7"/>
      <c r="R1533" s="7"/>
    </row>
    <row r="1534" spans="1:18" ht="140.25" x14ac:dyDescent="0.25">
      <c r="A1534" s="3" t="s">
        <v>18</v>
      </c>
      <c r="B1534" s="3">
        <v>2013</v>
      </c>
      <c r="C1534" s="3" t="s">
        <v>2058</v>
      </c>
      <c r="D1534" s="3" t="str">
        <f>"675 / 2012"</f>
        <v>675 / 2012</v>
      </c>
      <c r="E1534" s="4">
        <v>41297</v>
      </c>
      <c r="F1534" s="3" t="s">
        <v>3379</v>
      </c>
      <c r="G1534" s="5"/>
      <c r="H1534" s="3" t="s">
        <v>3380</v>
      </c>
      <c r="I1534" s="3">
        <v>39</v>
      </c>
      <c r="J1534" s="4">
        <v>41263</v>
      </c>
      <c r="K1534" s="6">
        <v>0.5</v>
      </c>
      <c r="L1534" s="3">
        <v>15</v>
      </c>
      <c r="M1534" s="5"/>
      <c r="N1534" s="3" t="s">
        <v>3381</v>
      </c>
      <c r="O1534" s="5"/>
      <c r="P1534" s="3" t="s">
        <v>22</v>
      </c>
      <c r="Q1534" s="7"/>
      <c r="R1534" s="7"/>
    </row>
    <row r="1535" spans="1:18" ht="89.25" x14ac:dyDescent="0.25">
      <c r="A1535" s="3" t="s">
        <v>18</v>
      </c>
      <c r="B1535" s="3">
        <v>2013</v>
      </c>
      <c r="C1535" s="3" t="s">
        <v>2058</v>
      </c>
      <c r="D1535" s="3" t="str">
        <f>"675 / 2013"</f>
        <v>675 / 2013</v>
      </c>
      <c r="E1535" s="4">
        <v>41617</v>
      </c>
      <c r="F1535" s="3" t="s">
        <v>3382</v>
      </c>
      <c r="G1535" s="5"/>
      <c r="H1535" s="3" t="s">
        <v>3383</v>
      </c>
      <c r="I1535" s="3">
        <v>36</v>
      </c>
      <c r="J1535" s="4">
        <v>41613</v>
      </c>
      <c r="K1535" s="6">
        <v>0.47916666666666669</v>
      </c>
      <c r="L1535" s="5"/>
      <c r="M1535" s="3" t="s">
        <v>35</v>
      </c>
      <c r="N1535" s="3" t="s">
        <v>35</v>
      </c>
      <c r="O1535" s="5"/>
      <c r="P1535" s="3" t="s">
        <v>74</v>
      </c>
      <c r="Q1535" s="7"/>
      <c r="R1535" s="7"/>
    </row>
    <row r="1536" spans="1:18" ht="153" x14ac:dyDescent="0.25">
      <c r="A1536" s="3" t="s">
        <v>18</v>
      </c>
      <c r="B1536" s="3">
        <v>2013</v>
      </c>
      <c r="C1536" s="3" t="s">
        <v>2058</v>
      </c>
      <c r="D1536" s="3" t="str">
        <f>"676 / 2012"</f>
        <v>676 / 2012</v>
      </c>
      <c r="E1536" s="4">
        <v>41291</v>
      </c>
      <c r="F1536" s="3" t="s">
        <v>3384</v>
      </c>
      <c r="G1536" s="5"/>
      <c r="H1536" s="3" t="s">
        <v>3385</v>
      </c>
      <c r="I1536" s="3">
        <v>39</v>
      </c>
      <c r="J1536" s="4">
        <v>41263</v>
      </c>
      <c r="K1536" s="6">
        <v>0.5</v>
      </c>
      <c r="L1536" s="3">
        <v>16</v>
      </c>
      <c r="M1536" s="5"/>
      <c r="N1536" s="3" t="s">
        <v>2117</v>
      </c>
      <c r="O1536" s="5"/>
      <c r="P1536" s="3" t="s">
        <v>22</v>
      </c>
      <c r="Q1536" s="7"/>
      <c r="R1536" s="7"/>
    </row>
    <row r="1537" spans="1:18" ht="51" x14ac:dyDescent="0.25">
      <c r="A1537" s="3" t="s">
        <v>18</v>
      </c>
      <c r="B1537" s="3">
        <v>2013</v>
      </c>
      <c r="C1537" s="3" t="s">
        <v>2058</v>
      </c>
      <c r="D1537" s="3" t="str">
        <f>"677/ 2013"</f>
        <v>677/ 2013</v>
      </c>
      <c r="E1537" s="4">
        <v>41617</v>
      </c>
      <c r="F1537" s="3" t="s">
        <v>3386</v>
      </c>
      <c r="G1537" s="5"/>
      <c r="H1537" s="3" t="s">
        <v>3387</v>
      </c>
      <c r="I1537" s="3">
        <v>36</v>
      </c>
      <c r="J1537" s="4">
        <v>41613</v>
      </c>
      <c r="K1537" s="6">
        <v>0.47916666666666669</v>
      </c>
      <c r="L1537" s="5"/>
      <c r="M1537" s="3" t="s">
        <v>2061</v>
      </c>
      <c r="N1537" s="3" t="s">
        <v>2061</v>
      </c>
      <c r="O1537" s="5"/>
      <c r="P1537" s="3" t="s">
        <v>74</v>
      </c>
      <c r="Q1537" s="7"/>
      <c r="R1537" s="7"/>
    </row>
    <row r="1538" spans="1:18" ht="76.5" x14ac:dyDescent="0.25">
      <c r="A1538" s="3" t="s">
        <v>18</v>
      </c>
      <c r="B1538" s="3">
        <v>2013</v>
      </c>
      <c r="C1538" s="3" t="s">
        <v>2058</v>
      </c>
      <c r="D1538" s="3" t="str">
        <f>"679 / 2012"</f>
        <v>679 / 2012</v>
      </c>
      <c r="E1538" s="4">
        <v>41281</v>
      </c>
      <c r="F1538" s="3" t="s">
        <v>3388</v>
      </c>
      <c r="G1538" s="5"/>
      <c r="H1538" s="3" t="s">
        <v>3389</v>
      </c>
      <c r="I1538" s="3">
        <v>39</v>
      </c>
      <c r="J1538" s="4">
        <v>41263</v>
      </c>
      <c r="K1538" s="6">
        <v>0.5</v>
      </c>
      <c r="L1538" s="3">
        <v>19</v>
      </c>
      <c r="M1538" s="5"/>
      <c r="N1538" s="3" t="s">
        <v>2595</v>
      </c>
      <c r="O1538" s="5"/>
      <c r="P1538" s="3" t="s">
        <v>22</v>
      </c>
      <c r="Q1538" s="7"/>
      <c r="R1538" s="7"/>
    </row>
    <row r="1539" spans="1:18" ht="63.75" x14ac:dyDescent="0.25">
      <c r="A1539" s="3" t="s">
        <v>18</v>
      </c>
      <c r="B1539" s="3">
        <v>2013</v>
      </c>
      <c r="C1539" s="3" t="s">
        <v>2058</v>
      </c>
      <c r="D1539" s="3" t="str">
        <f>"679 / 2013"</f>
        <v>679 / 2013</v>
      </c>
      <c r="E1539" s="4">
        <v>41613</v>
      </c>
      <c r="F1539" s="3" t="s">
        <v>3390</v>
      </c>
      <c r="G1539" s="5"/>
      <c r="H1539" s="3" t="s">
        <v>3391</v>
      </c>
      <c r="I1539" s="3">
        <v>36</v>
      </c>
      <c r="J1539" s="4">
        <v>41613</v>
      </c>
      <c r="K1539" s="6">
        <v>0.47916666666666669</v>
      </c>
      <c r="L1539" s="5"/>
      <c r="M1539" s="3" t="s">
        <v>3392</v>
      </c>
      <c r="N1539" s="3" t="s">
        <v>3392</v>
      </c>
      <c r="O1539" s="5"/>
      <c r="P1539" s="3" t="s">
        <v>74</v>
      </c>
      <c r="Q1539" s="7"/>
      <c r="R1539" s="7"/>
    </row>
    <row r="1540" spans="1:18" ht="51" x14ac:dyDescent="0.25">
      <c r="A1540" s="3" t="s">
        <v>18</v>
      </c>
      <c r="B1540" s="3">
        <v>2013</v>
      </c>
      <c r="C1540" s="3" t="s">
        <v>2058</v>
      </c>
      <c r="D1540" s="3" t="str">
        <f>"68 / 2013"</f>
        <v>68 / 2013</v>
      </c>
      <c r="E1540" s="4">
        <v>41323</v>
      </c>
      <c r="F1540" s="3" t="s">
        <v>3393</v>
      </c>
      <c r="G1540" s="5"/>
      <c r="H1540" s="3" t="s">
        <v>3394</v>
      </c>
      <c r="I1540" s="3">
        <v>5</v>
      </c>
      <c r="J1540" s="4">
        <v>41319</v>
      </c>
      <c r="K1540" s="6">
        <v>0.5</v>
      </c>
      <c r="L1540" s="3">
        <v>9</v>
      </c>
      <c r="M1540" s="3" t="s">
        <v>2061</v>
      </c>
      <c r="N1540" s="3" t="s">
        <v>2061</v>
      </c>
      <c r="O1540" s="5"/>
      <c r="P1540" s="3" t="s">
        <v>22</v>
      </c>
      <c r="Q1540" s="7"/>
      <c r="R1540" s="7"/>
    </row>
    <row r="1541" spans="1:18" ht="63.75" x14ac:dyDescent="0.25">
      <c r="A1541" s="3" t="s">
        <v>18</v>
      </c>
      <c r="B1541" s="3">
        <v>2013</v>
      </c>
      <c r="C1541" s="3" t="s">
        <v>2058</v>
      </c>
      <c r="D1541" s="3" t="str">
        <f>"680 / 2013"</f>
        <v>680 / 2013</v>
      </c>
      <c r="E1541" s="4">
        <v>41614</v>
      </c>
      <c r="F1541" s="3" t="s">
        <v>3395</v>
      </c>
      <c r="G1541" s="5"/>
      <c r="H1541" s="3" t="s">
        <v>3396</v>
      </c>
      <c r="I1541" s="3">
        <v>36</v>
      </c>
      <c r="J1541" s="4">
        <v>41613</v>
      </c>
      <c r="K1541" s="6">
        <v>0.47916666666666669</v>
      </c>
      <c r="L1541" s="5"/>
      <c r="M1541" s="3" t="s">
        <v>3392</v>
      </c>
      <c r="N1541" s="3" t="s">
        <v>3392</v>
      </c>
      <c r="O1541" s="5"/>
      <c r="P1541" s="3" t="s">
        <v>74</v>
      </c>
      <c r="Q1541" s="7"/>
      <c r="R1541" s="7"/>
    </row>
    <row r="1542" spans="1:18" ht="140.25" x14ac:dyDescent="0.25">
      <c r="A1542" s="3" t="s">
        <v>18</v>
      </c>
      <c r="B1542" s="3">
        <v>2013</v>
      </c>
      <c r="C1542" s="3" t="s">
        <v>2058</v>
      </c>
      <c r="D1542" s="3" t="str">
        <f>"681 / 2013"</f>
        <v>681 / 2013</v>
      </c>
      <c r="E1542" s="4">
        <v>41617</v>
      </c>
      <c r="F1542" s="3" t="s">
        <v>3397</v>
      </c>
      <c r="G1542" s="5"/>
      <c r="H1542" s="3" t="s">
        <v>3398</v>
      </c>
      <c r="I1542" s="3">
        <v>36</v>
      </c>
      <c r="J1542" s="4">
        <v>41613</v>
      </c>
      <c r="K1542" s="6">
        <v>0.47916666666666669</v>
      </c>
      <c r="L1542" s="5"/>
      <c r="M1542" s="3" t="s">
        <v>2110</v>
      </c>
      <c r="N1542" s="3" t="s">
        <v>2110</v>
      </c>
      <c r="O1542" s="5"/>
      <c r="P1542" s="3" t="s">
        <v>74</v>
      </c>
      <c r="Q1542" s="7"/>
      <c r="R1542" s="7"/>
    </row>
    <row r="1543" spans="1:18" ht="51" x14ac:dyDescent="0.25">
      <c r="A1543" s="3" t="s">
        <v>18</v>
      </c>
      <c r="B1543" s="3">
        <v>2013</v>
      </c>
      <c r="C1543" s="3" t="s">
        <v>2058</v>
      </c>
      <c r="D1543" s="3" t="str">
        <f>"682 / 2013"</f>
        <v>682 / 2013</v>
      </c>
      <c r="E1543" s="4">
        <v>41614</v>
      </c>
      <c r="F1543" s="3" t="s">
        <v>3399</v>
      </c>
      <c r="G1543" s="5"/>
      <c r="H1543" s="3" t="s">
        <v>3400</v>
      </c>
      <c r="I1543" s="3">
        <v>36</v>
      </c>
      <c r="J1543" s="4">
        <v>41613</v>
      </c>
      <c r="K1543" s="6">
        <v>0.47916666666666669</v>
      </c>
      <c r="L1543" s="5"/>
      <c r="M1543" s="3" t="s">
        <v>2061</v>
      </c>
      <c r="N1543" s="3" t="s">
        <v>2061</v>
      </c>
      <c r="O1543" s="5"/>
      <c r="P1543" s="3" t="s">
        <v>74</v>
      </c>
      <c r="Q1543" s="7"/>
      <c r="R1543" s="7"/>
    </row>
    <row r="1544" spans="1:18" ht="63.75" x14ac:dyDescent="0.25">
      <c r="A1544" s="3" t="s">
        <v>18</v>
      </c>
      <c r="B1544" s="3">
        <v>2013</v>
      </c>
      <c r="C1544" s="3" t="s">
        <v>2058</v>
      </c>
      <c r="D1544" s="3" t="str">
        <f>"683 / 2013"</f>
        <v>683 / 2013</v>
      </c>
      <c r="E1544" s="4">
        <v>41614</v>
      </c>
      <c r="F1544" s="3" t="s">
        <v>3401</v>
      </c>
      <c r="G1544" s="5"/>
      <c r="H1544" s="3" t="s">
        <v>3402</v>
      </c>
      <c r="I1544" s="3">
        <v>36</v>
      </c>
      <c r="J1544" s="4">
        <v>41613</v>
      </c>
      <c r="K1544" s="6">
        <v>0.47916666666666669</v>
      </c>
      <c r="L1544" s="5"/>
      <c r="M1544" s="3" t="s">
        <v>2099</v>
      </c>
      <c r="N1544" s="3" t="s">
        <v>2099</v>
      </c>
      <c r="O1544" s="5"/>
      <c r="P1544" s="3" t="s">
        <v>74</v>
      </c>
      <c r="Q1544" s="7"/>
      <c r="R1544" s="7"/>
    </row>
    <row r="1545" spans="1:18" ht="51" x14ac:dyDescent="0.25">
      <c r="A1545" s="3" t="s">
        <v>18</v>
      </c>
      <c r="B1545" s="3">
        <v>2013</v>
      </c>
      <c r="C1545" s="3" t="s">
        <v>2058</v>
      </c>
      <c r="D1545" s="3" t="str">
        <f>"684 / 2013"</f>
        <v>684 / 2013</v>
      </c>
      <c r="E1545" s="4">
        <v>41625</v>
      </c>
      <c r="F1545" s="3" t="s">
        <v>3403</v>
      </c>
      <c r="G1545" s="5"/>
      <c r="H1545" s="3" t="s">
        <v>3404</v>
      </c>
      <c r="I1545" s="3">
        <v>37</v>
      </c>
      <c r="J1545" s="4">
        <v>41625</v>
      </c>
      <c r="K1545" s="6">
        <v>0.47916666666666669</v>
      </c>
      <c r="L1545" s="3">
        <v>1</v>
      </c>
      <c r="M1545" s="3" t="s">
        <v>2061</v>
      </c>
      <c r="N1545" s="3" t="s">
        <v>2061</v>
      </c>
      <c r="O1545" s="5"/>
      <c r="P1545" s="3" t="s">
        <v>22</v>
      </c>
      <c r="Q1545" s="7"/>
      <c r="R1545" s="7"/>
    </row>
    <row r="1546" spans="1:18" ht="51" x14ac:dyDescent="0.25">
      <c r="A1546" s="3" t="s">
        <v>18</v>
      </c>
      <c r="B1546" s="3">
        <v>2013</v>
      </c>
      <c r="C1546" s="3" t="s">
        <v>2058</v>
      </c>
      <c r="D1546" s="3" t="str">
        <f>"685 / 2013"</f>
        <v>685 / 2013</v>
      </c>
      <c r="E1546" s="4">
        <v>41625</v>
      </c>
      <c r="F1546" s="3" t="s">
        <v>3405</v>
      </c>
      <c r="G1546" s="5"/>
      <c r="H1546" s="3" t="s">
        <v>3406</v>
      </c>
      <c r="I1546" s="3">
        <v>37</v>
      </c>
      <c r="J1546" s="4">
        <v>41625</v>
      </c>
      <c r="K1546" s="6">
        <v>0.47916666666666669</v>
      </c>
      <c r="L1546" s="3">
        <v>2</v>
      </c>
      <c r="M1546" s="3" t="s">
        <v>2061</v>
      </c>
      <c r="N1546" s="3" t="s">
        <v>2061</v>
      </c>
      <c r="O1546" s="5"/>
      <c r="P1546" s="3" t="s">
        <v>22</v>
      </c>
      <c r="Q1546" s="7"/>
      <c r="R1546" s="7"/>
    </row>
    <row r="1547" spans="1:18" ht="63.75" x14ac:dyDescent="0.25">
      <c r="A1547" s="3" t="s">
        <v>18</v>
      </c>
      <c r="B1547" s="3">
        <v>2013</v>
      </c>
      <c r="C1547" s="3" t="s">
        <v>2058</v>
      </c>
      <c r="D1547" s="3" t="str">
        <f>"686 / 2013"</f>
        <v>686 / 2013</v>
      </c>
      <c r="E1547" s="4">
        <v>41627</v>
      </c>
      <c r="F1547" s="3" t="s">
        <v>3407</v>
      </c>
      <c r="G1547" s="5"/>
      <c r="H1547" s="3" t="s">
        <v>3408</v>
      </c>
      <c r="I1547" s="3">
        <v>37</v>
      </c>
      <c r="J1547" s="4">
        <v>41625</v>
      </c>
      <c r="K1547" s="6">
        <v>0.47916666666666669</v>
      </c>
      <c r="L1547" s="3">
        <v>3</v>
      </c>
      <c r="M1547" s="3" t="s">
        <v>2110</v>
      </c>
      <c r="N1547" s="3" t="s">
        <v>2110</v>
      </c>
      <c r="O1547" s="5"/>
      <c r="P1547" s="3" t="s">
        <v>22</v>
      </c>
      <c r="Q1547" s="7"/>
      <c r="R1547" s="7"/>
    </row>
    <row r="1548" spans="1:18" ht="89.25" x14ac:dyDescent="0.25">
      <c r="A1548" s="3" t="s">
        <v>18</v>
      </c>
      <c r="B1548" s="3">
        <v>2013</v>
      </c>
      <c r="C1548" s="3" t="s">
        <v>2058</v>
      </c>
      <c r="D1548" s="3" t="str">
        <f>"687 / 2013"</f>
        <v>687 / 2013</v>
      </c>
      <c r="E1548" s="4">
        <v>41638</v>
      </c>
      <c r="F1548" s="3" t="s">
        <v>3409</v>
      </c>
      <c r="G1548" s="5"/>
      <c r="H1548" s="3" t="s">
        <v>3410</v>
      </c>
      <c r="I1548" s="3">
        <v>37</v>
      </c>
      <c r="J1548" s="4">
        <v>41625</v>
      </c>
      <c r="K1548" s="6">
        <v>0.47916666666666669</v>
      </c>
      <c r="L1548" s="3">
        <v>4</v>
      </c>
      <c r="M1548" s="3" t="s">
        <v>29</v>
      </c>
      <c r="N1548" s="3" t="s">
        <v>29</v>
      </c>
      <c r="O1548" s="5"/>
      <c r="P1548" s="3" t="s">
        <v>22</v>
      </c>
      <c r="Q1548" s="7"/>
      <c r="R1548" s="7"/>
    </row>
    <row r="1549" spans="1:18" ht="63.75" x14ac:dyDescent="0.25">
      <c r="A1549" s="3" t="s">
        <v>18</v>
      </c>
      <c r="B1549" s="3">
        <v>2013</v>
      </c>
      <c r="C1549" s="3" t="s">
        <v>2058</v>
      </c>
      <c r="D1549" s="3" t="str">
        <f>"688 / 2013"</f>
        <v>688 / 2013</v>
      </c>
      <c r="E1549" s="4">
        <v>41631</v>
      </c>
      <c r="F1549" s="3" t="s">
        <v>3411</v>
      </c>
      <c r="G1549" s="5"/>
      <c r="H1549" s="3" t="s">
        <v>3412</v>
      </c>
      <c r="I1549" s="3">
        <v>37</v>
      </c>
      <c r="J1549" s="4">
        <v>41625</v>
      </c>
      <c r="K1549" s="6">
        <v>0.47916666666666669</v>
      </c>
      <c r="L1549" s="3">
        <v>5</v>
      </c>
      <c r="M1549" s="3" t="s">
        <v>2300</v>
      </c>
      <c r="N1549" s="3" t="s">
        <v>2300</v>
      </c>
      <c r="O1549" s="5"/>
      <c r="P1549" s="3" t="s">
        <v>22</v>
      </c>
      <c r="Q1549" s="7"/>
      <c r="R1549" s="7"/>
    </row>
    <row r="1550" spans="1:18" ht="63.75" x14ac:dyDescent="0.25">
      <c r="A1550" s="3" t="s">
        <v>18</v>
      </c>
      <c r="B1550" s="3">
        <v>2013</v>
      </c>
      <c r="C1550" s="3" t="s">
        <v>2058</v>
      </c>
      <c r="D1550" s="3" t="str">
        <f>"689 / 2013"</f>
        <v>689 / 2013</v>
      </c>
      <c r="E1550" s="4">
        <v>41635</v>
      </c>
      <c r="F1550" s="3" t="s">
        <v>3413</v>
      </c>
      <c r="G1550" s="5"/>
      <c r="H1550" s="3" t="s">
        <v>3414</v>
      </c>
      <c r="I1550" s="3">
        <v>37</v>
      </c>
      <c r="J1550" s="4">
        <v>41625</v>
      </c>
      <c r="K1550" s="6">
        <v>0.47916666666666669</v>
      </c>
      <c r="L1550" s="3">
        <v>6</v>
      </c>
      <c r="M1550" s="3" t="s">
        <v>2069</v>
      </c>
      <c r="N1550" s="3" t="s">
        <v>2069</v>
      </c>
      <c r="O1550" s="5"/>
      <c r="P1550" s="3" t="s">
        <v>22</v>
      </c>
      <c r="Q1550" s="7"/>
      <c r="R1550" s="7"/>
    </row>
    <row r="1551" spans="1:18" ht="89.25" x14ac:dyDescent="0.25">
      <c r="A1551" s="3" t="s">
        <v>18</v>
      </c>
      <c r="B1551" s="3">
        <v>2013</v>
      </c>
      <c r="C1551" s="3" t="s">
        <v>2058</v>
      </c>
      <c r="D1551" s="3" t="str">
        <f>"69 / 2013"</f>
        <v>69 / 2013</v>
      </c>
      <c r="E1551" s="4">
        <v>41323</v>
      </c>
      <c r="F1551" s="3" t="s">
        <v>3415</v>
      </c>
      <c r="G1551" s="5"/>
      <c r="H1551" s="3" t="s">
        <v>3416</v>
      </c>
      <c r="I1551" s="3">
        <v>5</v>
      </c>
      <c r="J1551" s="4">
        <v>41319</v>
      </c>
      <c r="K1551" s="6">
        <v>0.5</v>
      </c>
      <c r="L1551" s="3">
        <v>10</v>
      </c>
      <c r="M1551" s="3" t="s">
        <v>2061</v>
      </c>
      <c r="N1551" s="3" t="s">
        <v>2061</v>
      </c>
      <c r="O1551" s="5"/>
      <c r="P1551" s="3" t="s">
        <v>22</v>
      </c>
      <c r="Q1551" s="7"/>
      <c r="R1551" s="7"/>
    </row>
    <row r="1552" spans="1:18" ht="51" x14ac:dyDescent="0.25">
      <c r="A1552" s="3" t="s">
        <v>18</v>
      </c>
      <c r="B1552" s="3">
        <v>2013</v>
      </c>
      <c r="C1552" s="3" t="s">
        <v>2058</v>
      </c>
      <c r="D1552" s="3" t="str">
        <f>"690 / 2013"</f>
        <v>690 / 2013</v>
      </c>
      <c r="E1552" s="4">
        <v>41631</v>
      </c>
      <c r="F1552" s="3" t="s">
        <v>3417</v>
      </c>
      <c r="G1552" s="5"/>
      <c r="H1552" s="3" t="s">
        <v>3418</v>
      </c>
      <c r="I1552" s="3">
        <v>37</v>
      </c>
      <c r="J1552" s="4">
        <v>41625</v>
      </c>
      <c r="K1552" s="6">
        <v>0.47916666666666669</v>
      </c>
      <c r="L1552" s="3">
        <v>7</v>
      </c>
      <c r="M1552" s="3" t="s">
        <v>2442</v>
      </c>
      <c r="N1552" s="3" t="s">
        <v>2442</v>
      </c>
      <c r="O1552" s="5"/>
      <c r="P1552" s="3" t="s">
        <v>22</v>
      </c>
      <c r="Q1552" s="7"/>
      <c r="R1552" s="7"/>
    </row>
    <row r="1553" spans="1:18" ht="89.25" x14ac:dyDescent="0.25">
      <c r="A1553" s="3" t="s">
        <v>18</v>
      </c>
      <c r="B1553" s="3">
        <v>2013</v>
      </c>
      <c r="C1553" s="3" t="s">
        <v>2058</v>
      </c>
      <c r="D1553" s="3" t="str">
        <f>"691 / 2013"</f>
        <v>691 / 2013</v>
      </c>
      <c r="E1553" s="4">
        <v>41635</v>
      </c>
      <c r="F1553" s="3" t="s">
        <v>3419</v>
      </c>
      <c r="G1553" s="5"/>
      <c r="H1553" s="3" t="s">
        <v>3420</v>
      </c>
      <c r="I1553" s="3">
        <v>37</v>
      </c>
      <c r="J1553" s="4">
        <v>41625</v>
      </c>
      <c r="K1553" s="6">
        <v>0.47916666666666669</v>
      </c>
      <c r="L1553" s="3">
        <v>8</v>
      </c>
      <c r="M1553" s="3" t="s">
        <v>29</v>
      </c>
      <c r="N1553" s="3" t="s">
        <v>29</v>
      </c>
      <c r="O1553" s="5"/>
      <c r="P1553" s="3" t="s">
        <v>22</v>
      </c>
      <c r="Q1553" s="7"/>
      <c r="R1553" s="7"/>
    </row>
    <row r="1554" spans="1:18" ht="63.75" x14ac:dyDescent="0.25">
      <c r="A1554" s="3" t="s">
        <v>18</v>
      </c>
      <c r="B1554" s="3">
        <v>2013</v>
      </c>
      <c r="C1554" s="3" t="s">
        <v>2058</v>
      </c>
      <c r="D1554" s="3" t="str">
        <f>"692 / 2013"</f>
        <v>692 / 2013</v>
      </c>
      <c r="E1554" s="4">
        <v>41631</v>
      </c>
      <c r="F1554" s="3" t="s">
        <v>3421</v>
      </c>
      <c r="G1554" s="5"/>
      <c r="H1554" s="3" t="s">
        <v>3422</v>
      </c>
      <c r="I1554" s="3">
        <v>37</v>
      </c>
      <c r="J1554" s="4">
        <v>41625</v>
      </c>
      <c r="K1554" s="6">
        <v>0.47916666666666669</v>
      </c>
      <c r="L1554" s="3">
        <v>9</v>
      </c>
      <c r="M1554" s="3" t="s">
        <v>2110</v>
      </c>
      <c r="N1554" s="3" t="s">
        <v>2110</v>
      </c>
      <c r="O1554" s="5"/>
      <c r="P1554" s="3" t="s">
        <v>22</v>
      </c>
      <c r="Q1554" s="7"/>
      <c r="R1554" s="7"/>
    </row>
    <row r="1555" spans="1:18" ht="89.25" x14ac:dyDescent="0.25">
      <c r="A1555" s="3" t="s">
        <v>18</v>
      </c>
      <c r="B1555" s="3">
        <v>2013</v>
      </c>
      <c r="C1555" s="3" t="s">
        <v>2058</v>
      </c>
      <c r="D1555" s="3" t="str">
        <f>"693 / 2013"</f>
        <v>693 / 2013</v>
      </c>
      <c r="E1555" s="4">
        <v>41627</v>
      </c>
      <c r="F1555" s="3" t="s">
        <v>3423</v>
      </c>
      <c r="G1555" s="5"/>
      <c r="H1555" s="3" t="s">
        <v>3424</v>
      </c>
      <c r="I1555" s="3">
        <v>37</v>
      </c>
      <c r="J1555" s="4">
        <v>41625</v>
      </c>
      <c r="K1555" s="6">
        <v>0.47916666666666669</v>
      </c>
      <c r="L1555" s="3">
        <v>10</v>
      </c>
      <c r="M1555" s="3" t="s">
        <v>2110</v>
      </c>
      <c r="N1555" s="3" t="s">
        <v>2110</v>
      </c>
      <c r="O1555" s="5"/>
      <c r="P1555" s="3" t="s">
        <v>22</v>
      </c>
      <c r="Q1555" s="7"/>
      <c r="R1555" s="7"/>
    </row>
    <row r="1556" spans="1:18" ht="89.25" x14ac:dyDescent="0.25">
      <c r="A1556" s="3" t="s">
        <v>18</v>
      </c>
      <c r="B1556" s="3">
        <v>2013</v>
      </c>
      <c r="C1556" s="3" t="s">
        <v>2058</v>
      </c>
      <c r="D1556" s="3" t="str">
        <f>"694 / 2013"</f>
        <v>694 / 2013</v>
      </c>
      <c r="E1556" s="4">
        <v>41628</v>
      </c>
      <c r="F1556" s="3" t="s">
        <v>3425</v>
      </c>
      <c r="G1556" s="5"/>
      <c r="H1556" s="3" t="s">
        <v>3426</v>
      </c>
      <c r="I1556" s="3">
        <v>37</v>
      </c>
      <c r="J1556" s="4">
        <v>41625</v>
      </c>
      <c r="K1556" s="6">
        <v>0.47916666666666669</v>
      </c>
      <c r="L1556" s="3">
        <v>11</v>
      </c>
      <c r="M1556" s="3" t="s">
        <v>3427</v>
      </c>
      <c r="N1556" s="3" t="s">
        <v>3427</v>
      </c>
      <c r="O1556" s="5"/>
      <c r="P1556" s="3" t="s">
        <v>22</v>
      </c>
      <c r="Q1556" s="7"/>
      <c r="R1556" s="7"/>
    </row>
    <row r="1557" spans="1:18" ht="102" x14ac:dyDescent="0.25">
      <c r="A1557" s="3" t="s">
        <v>18</v>
      </c>
      <c r="B1557" s="3">
        <v>2013</v>
      </c>
      <c r="C1557" s="3" t="s">
        <v>2058</v>
      </c>
      <c r="D1557" s="3" t="str">
        <f>"695 / 2013"</f>
        <v>695 / 2013</v>
      </c>
      <c r="E1557" s="4">
        <v>41628</v>
      </c>
      <c r="F1557" s="3" t="s">
        <v>3428</v>
      </c>
      <c r="G1557" s="5"/>
      <c r="H1557" s="3" t="s">
        <v>3429</v>
      </c>
      <c r="I1557" s="3">
        <v>37</v>
      </c>
      <c r="J1557" s="4">
        <v>41625</v>
      </c>
      <c r="K1557" s="6">
        <v>0.47916666666666669</v>
      </c>
      <c r="L1557" s="3">
        <v>12</v>
      </c>
      <c r="M1557" s="3" t="s">
        <v>2445</v>
      </c>
      <c r="N1557" s="3" t="s">
        <v>2445</v>
      </c>
      <c r="O1557" s="5"/>
      <c r="P1557" s="3" t="s">
        <v>22</v>
      </c>
      <c r="Q1557" s="7"/>
      <c r="R1557" s="7"/>
    </row>
    <row r="1558" spans="1:18" ht="76.5" x14ac:dyDescent="0.25">
      <c r="A1558" s="3" t="s">
        <v>18</v>
      </c>
      <c r="B1558" s="3">
        <v>2013</v>
      </c>
      <c r="C1558" s="3" t="s">
        <v>2058</v>
      </c>
      <c r="D1558" s="3" t="str">
        <f>"696 / 2013"</f>
        <v>696 / 2013</v>
      </c>
      <c r="E1558" s="4">
        <v>41628</v>
      </c>
      <c r="F1558" s="3" t="s">
        <v>3430</v>
      </c>
      <c r="G1558" s="5"/>
      <c r="H1558" s="3" t="s">
        <v>3431</v>
      </c>
      <c r="I1558" s="3">
        <v>37</v>
      </c>
      <c r="J1558" s="4">
        <v>41625</v>
      </c>
      <c r="K1558" s="6">
        <v>0.47916666666666669</v>
      </c>
      <c r="L1558" s="3">
        <v>13</v>
      </c>
      <c r="M1558" s="3" t="s">
        <v>3155</v>
      </c>
      <c r="N1558" s="3" t="s">
        <v>3155</v>
      </c>
      <c r="O1558" s="5"/>
      <c r="P1558" s="3" t="s">
        <v>22</v>
      </c>
      <c r="Q1558" s="7"/>
      <c r="R1558" s="7"/>
    </row>
    <row r="1559" spans="1:18" ht="76.5" x14ac:dyDescent="0.25">
      <c r="A1559" s="3" t="s">
        <v>18</v>
      </c>
      <c r="B1559" s="3">
        <v>2013</v>
      </c>
      <c r="C1559" s="3" t="s">
        <v>2058</v>
      </c>
      <c r="D1559" s="3" t="str">
        <f>"697 / 2013"</f>
        <v>697 / 2013</v>
      </c>
      <c r="E1559" s="4">
        <v>41628</v>
      </c>
      <c r="F1559" s="3" t="s">
        <v>3432</v>
      </c>
      <c r="G1559" s="5"/>
      <c r="H1559" s="3" t="s">
        <v>3433</v>
      </c>
      <c r="I1559" s="3">
        <v>37</v>
      </c>
      <c r="J1559" s="4">
        <v>41625</v>
      </c>
      <c r="K1559" s="6">
        <v>0.47916666666666669</v>
      </c>
      <c r="L1559" s="3">
        <v>14</v>
      </c>
      <c r="M1559" s="3" t="s">
        <v>2110</v>
      </c>
      <c r="N1559" s="3" t="s">
        <v>2110</v>
      </c>
      <c r="O1559" s="5"/>
      <c r="P1559" s="3" t="s">
        <v>22</v>
      </c>
      <c r="Q1559" s="7"/>
      <c r="R1559" s="7"/>
    </row>
    <row r="1560" spans="1:18" ht="51" x14ac:dyDescent="0.25">
      <c r="A1560" s="3" t="s">
        <v>18</v>
      </c>
      <c r="B1560" s="3">
        <v>2013</v>
      </c>
      <c r="C1560" s="3" t="s">
        <v>2058</v>
      </c>
      <c r="D1560" s="3" t="str">
        <f>"698 / 2013"</f>
        <v>698 / 2013</v>
      </c>
      <c r="E1560" s="4">
        <v>41627</v>
      </c>
      <c r="F1560" s="3" t="s">
        <v>3434</v>
      </c>
      <c r="G1560" s="5"/>
      <c r="H1560" s="3" t="s">
        <v>3435</v>
      </c>
      <c r="I1560" s="3">
        <v>37</v>
      </c>
      <c r="J1560" s="4">
        <v>41625</v>
      </c>
      <c r="K1560" s="6">
        <v>0.47916666666666669</v>
      </c>
      <c r="L1560" s="3">
        <v>15</v>
      </c>
      <c r="M1560" s="3" t="s">
        <v>2099</v>
      </c>
      <c r="N1560" s="3" t="s">
        <v>2099</v>
      </c>
      <c r="O1560" s="5"/>
      <c r="P1560" s="3" t="s">
        <v>22</v>
      </c>
      <c r="Q1560" s="7"/>
      <c r="R1560" s="7"/>
    </row>
    <row r="1561" spans="1:18" ht="51" x14ac:dyDescent="0.25">
      <c r="A1561" s="3" t="s">
        <v>18</v>
      </c>
      <c r="B1561" s="3">
        <v>2013</v>
      </c>
      <c r="C1561" s="3" t="s">
        <v>2058</v>
      </c>
      <c r="D1561" s="3" t="str">
        <f>"699 / 2013"</f>
        <v>699 / 2013</v>
      </c>
      <c r="E1561" s="4">
        <v>41627</v>
      </c>
      <c r="F1561" s="3" t="s">
        <v>3436</v>
      </c>
      <c r="G1561" s="5"/>
      <c r="H1561" s="3" t="s">
        <v>3437</v>
      </c>
      <c r="I1561" s="3">
        <v>37</v>
      </c>
      <c r="J1561" s="4">
        <v>41625</v>
      </c>
      <c r="K1561" s="6">
        <v>0.47916666666666669</v>
      </c>
      <c r="L1561" s="3">
        <v>16</v>
      </c>
      <c r="M1561" s="3" t="s">
        <v>3316</v>
      </c>
      <c r="N1561" s="3" t="s">
        <v>3316</v>
      </c>
      <c r="O1561" s="5"/>
      <c r="P1561" s="3" t="s">
        <v>22</v>
      </c>
      <c r="Q1561" s="7"/>
      <c r="R1561" s="7"/>
    </row>
    <row r="1562" spans="1:18" ht="51" x14ac:dyDescent="0.25">
      <c r="A1562" s="3" t="s">
        <v>18</v>
      </c>
      <c r="B1562" s="3">
        <v>2013</v>
      </c>
      <c r="C1562" s="3" t="s">
        <v>2058</v>
      </c>
      <c r="D1562" s="3" t="str">
        <f>"7 / 2013"</f>
        <v>7 / 2013</v>
      </c>
      <c r="E1562" s="4">
        <v>41305</v>
      </c>
      <c r="F1562" s="3" t="s">
        <v>3438</v>
      </c>
      <c r="G1562" s="5"/>
      <c r="H1562" s="3" t="s">
        <v>3439</v>
      </c>
      <c r="I1562" s="3">
        <v>1</v>
      </c>
      <c r="J1562" s="4">
        <v>41295</v>
      </c>
      <c r="K1562" s="6">
        <v>0.5</v>
      </c>
      <c r="L1562" s="3">
        <v>7</v>
      </c>
      <c r="M1562" s="3" t="s">
        <v>2185</v>
      </c>
      <c r="N1562" s="3" t="s">
        <v>2185</v>
      </c>
      <c r="O1562" s="5"/>
      <c r="P1562" s="3" t="s">
        <v>22</v>
      </c>
      <c r="Q1562" s="7"/>
      <c r="R1562" s="7"/>
    </row>
    <row r="1563" spans="1:18" ht="51" x14ac:dyDescent="0.25">
      <c r="A1563" s="3" t="s">
        <v>18</v>
      </c>
      <c r="B1563" s="3">
        <v>2013</v>
      </c>
      <c r="C1563" s="3" t="s">
        <v>2058</v>
      </c>
      <c r="D1563" s="3" t="str">
        <f>"70 / 2013"</f>
        <v>70 / 2013</v>
      </c>
      <c r="E1563" s="4">
        <v>41320</v>
      </c>
      <c r="F1563" s="3" t="s">
        <v>3440</v>
      </c>
      <c r="G1563" s="5"/>
      <c r="H1563" s="3" t="s">
        <v>3441</v>
      </c>
      <c r="I1563" s="3">
        <v>5</v>
      </c>
      <c r="J1563" s="4">
        <v>41319</v>
      </c>
      <c r="K1563" s="6">
        <v>0.5</v>
      </c>
      <c r="L1563" s="3">
        <v>11</v>
      </c>
      <c r="M1563" s="3" t="s">
        <v>2099</v>
      </c>
      <c r="N1563" s="3" t="s">
        <v>2099</v>
      </c>
      <c r="O1563" s="5"/>
      <c r="P1563" s="3" t="s">
        <v>22</v>
      </c>
      <c r="Q1563" s="7"/>
      <c r="R1563" s="7"/>
    </row>
    <row r="1564" spans="1:18" ht="89.25" x14ac:dyDescent="0.25">
      <c r="A1564" s="3" t="s">
        <v>18</v>
      </c>
      <c r="B1564" s="3">
        <v>2013</v>
      </c>
      <c r="C1564" s="3" t="s">
        <v>2058</v>
      </c>
      <c r="D1564" s="3" t="str">
        <f>"700 / 2013"</f>
        <v>700 / 2013</v>
      </c>
      <c r="E1564" s="4">
        <v>41638</v>
      </c>
      <c r="F1564" s="3" t="s">
        <v>3442</v>
      </c>
      <c r="G1564" s="5"/>
      <c r="H1564" s="3" t="s">
        <v>3443</v>
      </c>
      <c r="I1564" s="3">
        <v>37</v>
      </c>
      <c r="J1564" s="4">
        <v>41625</v>
      </c>
      <c r="K1564" s="6">
        <v>0.47916666666666669</v>
      </c>
      <c r="L1564" s="3">
        <v>17</v>
      </c>
      <c r="M1564" s="3" t="s">
        <v>29</v>
      </c>
      <c r="N1564" s="3" t="s">
        <v>29</v>
      </c>
      <c r="O1564" s="5"/>
      <c r="P1564" s="3" t="s">
        <v>22</v>
      </c>
      <c r="Q1564" s="7"/>
      <c r="R1564" s="7"/>
    </row>
    <row r="1565" spans="1:18" ht="51" x14ac:dyDescent="0.25">
      <c r="A1565" s="3" t="s">
        <v>18</v>
      </c>
      <c r="B1565" s="3">
        <v>2013</v>
      </c>
      <c r="C1565" s="3" t="s">
        <v>2058</v>
      </c>
      <c r="D1565" s="3" t="str">
        <f>"701/ 2013"</f>
        <v>701/ 2013</v>
      </c>
      <c r="E1565" s="4">
        <v>41627</v>
      </c>
      <c r="F1565" s="3" t="s">
        <v>3444</v>
      </c>
      <c r="G1565" s="5"/>
      <c r="H1565" s="3" t="s">
        <v>3445</v>
      </c>
      <c r="I1565" s="3">
        <v>37</v>
      </c>
      <c r="J1565" s="4">
        <v>41625</v>
      </c>
      <c r="K1565" s="6">
        <v>0.47916666666666669</v>
      </c>
      <c r="L1565" s="3">
        <v>18</v>
      </c>
      <c r="M1565" s="3" t="s">
        <v>2437</v>
      </c>
      <c r="N1565" s="3" t="s">
        <v>2437</v>
      </c>
      <c r="O1565" s="5"/>
      <c r="P1565" s="3" t="s">
        <v>22</v>
      </c>
      <c r="Q1565" s="7"/>
      <c r="R1565" s="7"/>
    </row>
    <row r="1566" spans="1:18" ht="76.5" x14ac:dyDescent="0.25">
      <c r="A1566" s="3" t="s">
        <v>18</v>
      </c>
      <c r="B1566" s="3">
        <v>2013</v>
      </c>
      <c r="C1566" s="3" t="s">
        <v>2058</v>
      </c>
      <c r="D1566" s="3" t="str">
        <f>"702 / 2013"</f>
        <v>702 / 2013</v>
      </c>
      <c r="E1566" s="4">
        <v>41635</v>
      </c>
      <c r="F1566" s="3" t="s">
        <v>3446</v>
      </c>
      <c r="G1566" s="5"/>
      <c r="H1566" s="3" t="s">
        <v>3447</v>
      </c>
      <c r="I1566" s="3">
        <v>37</v>
      </c>
      <c r="J1566" s="4">
        <v>41625</v>
      </c>
      <c r="K1566" s="6">
        <v>0.47916666666666669</v>
      </c>
      <c r="L1566" s="3">
        <v>19</v>
      </c>
      <c r="M1566" s="3" t="s">
        <v>3448</v>
      </c>
      <c r="N1566" s="3" t="s">
        <v>3448</v>
      </c>
      <c r="O1566" s="5"/>
      <c r="P1566" s="3" t="s">
        <v>22</v>
      </c>
      <c r="Q1566" s="7"/>
      <c r="R1566" s="7"/>
    </row>
    <row r="1567" spans="1:18" ht="51" x14ac:dyDescent="0.25">
      <c r="A1567" s="3" t="s">
        <v>18</v>
      </c>
      <c r="B1567" s="3">
        <v>2013</v>
      </c>
      <c r="C1567" s="3" t="s">
        <v>2058</v>
      </c>
      <c r="D1567" s="3" t="str">
        <f>"703 / 2013"</f>
        <v>703 / 2013</v>
      </c>
      <c r="E1567" s="4">
        <v>41631</v>
      </c>
      <c r="F1567" s="3" t="s">
        <v>3449</v>
      </c>
      <c r="G1567" s="5"/>
      <c r="H1567" s="3" t="s">
        <v>3450</v>
      </c>
      <c r="I1567" s="3">
        <v>37</v>
      </c>
      <c r="J1567" s="4">
        <v>41625</v>
      </c>
      <c r="K1567" s="6">
        <v>0.47916666666666669</v>
      </c>
      <c r="L1567" s="3">
        <v>20</v>
      </c>
      <c r="M1567" s="3" t="s">
        <v>3448</v>
      </c>
      <c r="N1567" s="3" t="s">
        <v>3448</v>
      </c>
      <c r="O1567" s="5"/>
      <c r="P1567" s="3" t="s">
        <v>22</v>
      </c>
      <c r="Q1567" s="7"/>
      <c r="R1567" s="7"/>
    </row>
    <row r="1568" spans="1:18" ht="229.5" x14ac:dyDescent="0.25">
      <c r="A1568" s="3" t="s">
        <v>18</v>
      </c>
      <c r="B1568" s="3">
        <v>2013</v>
      </c>
      <c r="C1568" s="3" t="s">
        <v>2058</v>
      </c>
      <c r="D1568" s="3" t="str">
        <f>"704/ 2013"</f>
        <v>704/ 2013</v>
      </c>
      <c r="E1568" s="4">
        <v>41628</v>
      </c>
      <c r="F1568" s="3" t="s">
        <v>3451</v>
      </c>
      <c r="G1568" s="5"/>
      <c r="H1568" s="3" t="s">
        <v>3452</v>
      </c>
      <c r="I1568" s="3">
        <v>37</v>
      </c>
      <c r="J1568" s="4">
        <v>41625</v>
      </c>
      <c r="K1568" s="6">
        <v>0.47916666666666669</v>
      </c>
      <c r="L1568" s="3">
        <v>21</v>
      </c>
      <c r="M1568" s="3" t="s">
        <v>3453</v>
      </c>
      <c r="N1568" s="3" t="s">
        <v>3453</v>
      </c>
      <c r="O1568" s="5"/>
      <c r="P1568" s="3" t="s">
        <v>22</v>
      </c>
      <c r="Q1568" s="7"/>
      <c r="R1568" s="7"/>
    </row>
    <row r="1569" spans="1:18" ht="229.5" x14ac:dyDescent="0.25">
      <c r="A1569" s="3" t="s">
        <v>18</v>
      </c>
      <c r="B1569" s="3">
        <v>2013</v>
      </c>
      <c r="C1569" s="3" t="s">
        <v>2058</v>
      </c>
      <c r="D1569" s="3" t="str">
        <f>"705/ 2013"</f>
        <v>705/ 2013</v>
      </c>
      <c r="E1569" s="4">
        <v>41628</v>
      </c>
      <c r="F1569" s="3" t="s">
        <v>3454</v>
      </c>
      <c r="G1569" s="5"/>
      <c r="H1569" s="3" t="s">
        <v>3455</v>
      </c>
      <c r="I1569" s="3">
        <v>37</v>
      </c>
      <c r="J1569" s="4">
        <v>41625</v>
      </c>
      <c r="K1569" s="6">
        <v>0.47916666666666669</v>
      </c>
      <c r="L1569" s="3">
        <v>22</v>
      </c>
      <c r="M1569" s="3" t="s">
        <v>3453</v>
      </c>
      <c r="N1569" s="3" t="s">
        <v>3453</v>
      </c>
      <c r="O1569" s="5"/>
      <c r="P1569" s="3" t="s">
        <v>22</v>
      </c>
      <c r="Q1569" s="7"/>
      <c r="R1569" s="7"/>
    </row>
    <row r="1570" spans="1:18" ht="114.75" x14ac:dyDescent="0.25">
      <c r="A1570" s="3" t="s">
        <v>18</v>
      </c>
      <c r="B1570" s="3">
        <v>2013</v>
      </c>
      <c r="C1570" s="3" t="s">
        <v>2058</v>
      </c>
      <c r="D1570" s="3" t="str">
        <f>"706 / 2013"</f>
        <v>706 / 2013</v>
      </c>
      <c r="E1570" s="4">
        <v>41631</v>
      </c>
      <c r="F1570" s="3" t="s">
        <v>3456</v>
      </c>
      <c r="G1570" s="5"/>
      <c r="H1570" s="3" t="s">
        <v>3457</v>
      </c>
      <c r="I1570" s="3">
        <v>37</v>
      </c>
      <c r="J1570" s="4">
        <v>41625</v>
      </c>
      <c r="K1570" s="6">
        <v>0.47916666666666669</v>
      </c>
      <c r="L1570" s="3">
        <v>23</v>
      </c>
      <c r="M1570" s="3" t="s">
        <v>2110</v>
      </c>
      <c r="N1570" s="3" t="s">
        <v>2110</v>
      </c>
      <c r="O1570" s="5"/>
      <c r="P1570" s="3" t="s">
        <v>22</v>
      </c>
      <c r="Q1570" s="7"/>
      <c r="R1570" s="7"/>
    </row>
    <row r="1571" spans="1:18" ht="51" x14ac:dyDescent="0.25">
      <c r="A1571" s="3" t="s">
        <v>18</v>
      </c>
      <c r="B1571" s="3">
        <v>2013</v>
      </c>
      <c r="C1571" s="3" t="s">
        <v>2058</v>
      </c>
      <c r="D1571" s="3" t="str">
        <f>"707 / 2013"</f>
        <v>707 / 2013</v>
      </c>
      <c r="E1571" s="4">
        <v>41627</v>
      </c>
      <c r="F1571" s="3" t="s">
        <v>3458</v>
      </c>
      <c r="G1571" s="5"/>
      <c r="H1571" s="3" t="s">
        <v>3459</v>
      </c>
      <c r="I1571" s="3">
        <v>37</v>
      </c>
      <c r="J1571" s="4">
        <v>41625</v>
      </c>
      <c r="K1571" s="6">
        <v>0.47916666666666669</v>
      </c>
      <c r="L1571" s="3">
        <v>24</v>
      </c>
      <c r="M1571" s="3" t="s">
        <v>2099</v>
      </c>
      <c r="N1571" s="3" t="s">
        <v>2099</v>
      </c>
      <c r="O1571" s="5"/>
      <c r="P1571" s="3" t="s">
        <v>22</v>
      </c>
      <c r="Q1571" s="7"/>
      <c r="R1571" s="7"/>
    </row>
    <row r="1572" spans="1:18" ht="114.75" x14ac:dyDescent="0.25">
      <c r="A1572" s="3" t="s">
        <v>18</v>
      </c>
      <c r="B1572" s="3">
        <v>2013</v>
      </c>
      <c r="C1572" s="3" t="s">
        <v>2058</v>
      </c>
      <c r="D1572" s="3" t="str">
        <f>"708 / 2013"</f>
        <v>708 / 2013</v>
      </c>
      <c r="E1572" s="4">
        <v>41638</v>
      </c>
      <c r="F1572" s="3" t="s">
        <v>3460</v>
      </c>
      <c r="G1572" s="5"/>
      <c r="H1572" s="3" t="s">
        <v>3461</v>
      </c>
      <c r="I1572" s="3">
        <v>37</v>
      </c>
      <c r="J1572" s="4">
        <v>41625</v>
      </c>
      <c r="K1572" s="6">
        <v>0.47916666666666669</v>
      </c>
      <c r="L1572" s="3">
        <v>25</v>
      </c>
      <c r="M1572" s="3" t="s">
        <v>3462</v>
      </c>
      <c r="N1572" s="3" t="s">
        <v>3462</v>
      </c>
      <c r="O1572" s="5"/>
      <c r="P1572" s="3" t="s">
        <v>22</v>
      </c>
      <c r="Q1572" s="7"/>
      <c r="R1572" s="7"/>
    </row>
    <row r="1573" spans="1:18" ht="114.75" x14ac:dyDescent="0.25">
      <c r="A1573" s="3" t="s">
        <v>18</v>
      </c>
      <c r="B1573" s="3">
        <v>2013</v>
      </c>
      <c r="C1573" s="3" t="s">
        <v>2058</v>
      </c>
      <c r="D1573" s="3" t="str">
        <f>"709 / 2013"</f>
        <v>709 / 2013</v>
      </c>
      <c r="E1573" s="4">
        <v>41638</v>
      </c>
      <c r="F1573" s="3" t="s">
        <v>3463</v>
      </c>
      <c r="G1573" s="5"/>
      <c r="H1573" s="3" t="s">
        <v>3461</v>
      </c>
      <c r="I1573" s="3">
        <v>37</v>
      </c>
      <c r="J1573" s="4">
        <v>41625</v>
      </c>
      <c r="K1573" s="6">
        <v>0.47916666666666669</v>
      </c>
      <c r="L1573" s="3">
        <v>26</v>
      </c>
      <c r="M1573" s="3" t="s">
        <v>3464</v>
      </c>
      <c r="N1573" s="3" t="s">
        <v>3464</v>
      </c>
      <c r="O1573" s="5"/>
      <c r="P1573" s="3" t="s">
        <v>22</v>
      </c>
      <c r="Q1573" s="7"/>
      <c r="R1573" s="7"/>
    </row>
    <row r="1574" spans="1:18" ht="76.5" x14ac:dyDescent="0.25">
      <c r="A1574" s="3" t="s">
        <v>18</v>
      </c>
      <c r="B1574" s="3">
        <v>2013</v>
      </c>
      <c r="C1574" s="3" t="s">
        <v>2058</v>
      </c>
      <c r="D1574" s="3" t="str">
        <f>"71 / 2013"</f>
        <v>71 / 2013</v>
      </c>
      <c r="E1574" s="4">
        <v>41323</v>
      </c>
      <c r="F1574" s="3" t="s">
        <v>3465</v>
      </c>
      <c r="G1574" s="5"/>
      <c r="H1574" s="3" t="s">
        <v>3466</v>
      </c>
      <c r="I1574" s="3">
        <v>5</v>
      </c>
      <c r="J1574" s="4">
        <v>41319</v>
      </c>
      <c r="K1574" s="6">
        <v>0.5</v>
      </c>
      <c r="L1574" s="3">
        <v>12</v>
      </c>
      <c r="M1574" s="3" t="s">
        <v>2061</v>
      </c>
      <c r="N1574" s="3" t="s">
        <v>2061</v>
      </c>
      <c r="O1574" s="5"/>
      <c r="P1574" s="3" t="s">
        <v>22</v>
      </c>
      <c r="Q1574" s="7"/>
      <c r="R1574" s="7"/>
    </row>
    <row r="1575" spans="1:18" ht="114.75" x14ac:dyDescent="0.25">
      <c r="A1575" s="3" t="s">
        <v>18</v>
      </c>
      <c r="B1575" s="3">
        <v>2013</v>
      </c>
      <c r="C1575" s="3" t="s">
        <v>2058</v>
      </c>
      <c r="D1575" s="3" t="str">
        <f>"710 / 2013"</f>
        <v>710 / 2013</v>
      </c>
      <c r="E1575" s="4">
        <v>41638</v>
      </c>
      <c r="F1575" s="3" t="s">
        <v>3467</v>
      </c>
      <c r="G1575" s="5"/>
      <c r="H1575" s="3" t="s">
        <v>3468</v>
      </c>
      <c r="I1575" s="3">
        <v>37</v>
      </c>
      <c r="J1575" s="4">
        <v>41625</v>
      </c>
      <c r="K1575" s="6">
        <v>0.47916666666666669</v>
      </c>
      <c r="L1575" s="3">
        <v>27</v>
      </c>
      <c r="M1575" s="3" t="s">
        <v>3469</v>
      </c>
      <c r="N1575" s="3" t="s">
        <v>3469</v>
      </c>
      <c r="O1575" s="5"/>
      <c r="P1575" s="3" t="s">
        <v>22</v>
      </c>
      <c r="Q1575" s="7"/>
      <c r="R1575" s="7"/>
    </row>
    <row r="1576" spans="1:18" ht="63.75" x14ac:dyDescent="0.25">
      <c r="A1576" s="3" t="s">
        <v>18</v>
      </c>
      <c r="B1576" s="3">
        <v>2013</v>
      </c>
      <c r="C1576" s="3" t="s">
        <v>2058</v>
      </c>
      <c r="D1576" s="3" t="str">
        <f>"711 / 2013"</f>
        <v>711 / 2013</v>
      </c>
      <c r="E1576" s="4">
        <v>41626</v>
      </c>
      <c r="F1576" s="3" t="s">
        <v>3470</v>
      </c>
      <c r="G1576" s="5"/>
      <c r="H1576" s="3" t="s">
        <v>3471</v>
      </c>
      <c r="I1576" s="3">
        <v>37</v>
      </c>
      <c r="J1576" s="4">
        <v>41625</v>
      </c>
      <c r="K1576" s="6">
        <v>0.47916666666666669</v>
      </c>
      <c r="L1576" s="3">
        <v>28</v>
      </c>
      <c r="M1576" s="3" t="s">
        <v>3316</v>
      </c>
      <c r="N1576" s="3" t="s">
        <v>3316</v>
      </c>
      <c r="O1576" s="5"/>
      <c r="P1576" s="3" t="s">
        <v>22</v>
      </c>
      <c r="Q1576" s="7"/>
      <c r="R1576" s="7"/>
    </row>
    <row r="1577" spans="1:18" ht="38.25" x14ac:dyDescent="0.25">
      <c r="A1577" s="3" t="s">
        <v>18</v>
      </c>
      <c r="B1577" s="3">
        <v>2013</v>
      </c>
      <c r="C1577" s="3" t="s">
        <v>2058</v>
      </c>
      <c r="D1577" s="3" t="str">
        <f>"712 / 2013"</f>
        <v>712 / 2013</v>
      </c>
      <c r="E1577" s="4">
        <v>41628</v>
      </c>
      <c r="F1577" s="3" t="s">
        <v>3472</v>
      </c>
      <c r="G1577" s="5"/>
      <c r="H1577" s="3" t="s">
        <v>3473</v>
      </c>
      <c r="I1577" s="3">
        <v>37</v>
      </c>
      <c r="J1577" s="4">
        <v>41625</v>
      </c>
      <c r="K1577" s="6">
        <v>0.47916666666666669</v>
      </c>
      <c r="L1577" s="3">
        <v>29</v>
      </c>
      <c r="M1577" s="3" t="s">
        <v>2110</v>
      </c>
      <c r="N1577" s="3" t="s">
        <v>2110</v>
      </c>
      <c r="O1577" s="5"/>
      <c r="P1577" s="3" t="s">
        <v>22</v>
      </c>
      <c r="Q1577" s="7"/>
      <c r="R1577" s="7"/>
    </row>
    <row r="1578" spans="1:18" ht="89.25" x14ac:dyDescent="0.25">
      <c r="A1578" s="3" t="s">
        <v>18</v>
      </c>
      <c r="B1578" s="3">
        <v>2013</v>
      </c>
      <c r="C1578" s="3" t="s">
        <v>2058</v>
      </c>
      <c r="D1578" s="3" t="str">
        <f>"713/ 2013"</f>
        <v>713/ 2013</v>
      </c>
      <c r="E1578" s="4">
        <v>41635</v>
      </c>
      <c r="F1578" s="3" t="s">
        <v>3474</v>
      </c>
      <c r="G1578" s="5"/>
      <c r="H1578" s="3" t="s">
        <v>3475</v>
      </c>
      <c r="I1578" s="3">
        <v>37</v>
      </c>
      <c r="J1578" s="4">
        <v>41625</v>
      </c>
      <c r="K1578" s="6">
        <v>0.47916666666666669</v>
      </c>
      <c r="L1578" s="3">
        <v>30</v>
      </c>
      <c r="M1578" s="3" t="s">
        <v>29</v>
      </c>
      <c r="N1578" s="3" t="s">
        <v>29</v>
      </c>
      <c r="O1578" s="5"/>
      <c r="P1578" s="3" t="s">
        <v>22</v>
      </c>
      <c r="Q1578" s="7"/>
      <c r="R1578" s="7"/>
    </row>
    <row r="1579" spans="1:18" ht="51" x14ac:dyDescent="0.25">
      <c r="A1579" s="3" t="s">
        <v>18</v>
      </c>
      <c r="B1579" s="3">
        <v>2013</v>
      </c>
      <c r="C1579" s="3" t="s">
        <v>2058</v>
      </c>
      <c r="D1579" s="3" t="str">
        <f>"714 / 2013"</f>
        <v>714 / 2013</v>
      </c>
      <c r="E1579" s="4">
        <v>41635</v>
      </c>
      <c r="F1579" s="3" t="s">
        <v>3476</v>
      </c>
      <c r="G1579" s="5"/>
      <c r="H1579" s="3" t="s">
        <v>3477</v>
      </c>
      <c r="I1579" s="3">
        <v>37</v>
      </c>
      <c r="J1579" s="4">
        <v>41625</v>
      </c>
      <c r="K1579" s="6">
        <v>0.47916666666666669</v>
      </c>
      <c r="L1579" s="3">
        <v>31</v>
      </c>
      <c r="M1579" s="3" t="s">
        <v>3002</v>
      </c>
      <c r="N1579" s="3" t="s">
        <v>3002</v>
      </c>
      <c r="O1579" s="5"/>
      <c r="P1579" s="3" t="s">
        <v>22</v>
      </c>
      <c r="Q1579" s="7"/>
      <c r="R1579" s="7"/>
    </row>
    <row r="1580" spans="1:18" ht="63.75" x14ac:dyDescent="0.25">
      <c r="A1580" s="3" t="s">
        <v>18</v>
      </c>
      <c r="B1580" s="3">
        <v>2013</v>
      </c>
      <c r="C1580" s="3" t="s">
        <v>2058</v>
      </c>
      <c r="D1580" s="3" t="str">
        <f>"715 / 2013"</f>
        <v>715 / 2013</v>
      </c>
      <c r="E1580" s="4">
        <v>41631</v>
      </c>
      <c r="F1580" s="3" t="s">
        <v>3478</v>
      </c>
      <c r="G1580" s="5"/>
      <c r="H1580" s="3" t="s">
        <v>3479</v>
      </c>
      <c r="I1580" s="3">
        <v>37</v>
      </c>
      <c r="J1580" s="4">
        <v>41625</v>
      </c>
      <c r="K1580" s="6">
        <v>0.47916666666666669</v>
      </c>
      <c r="L1580" s="3">
        <v>32</v>
      </c>
      <c r="M1580" s="3" t="s">
        <v>2442</v>
      </c>
      <c r="N1580" s="3" t="s">
        <v>2442</v>
      </c>
      <c r="O1580" s="5"/>
      <c r="P1580" s="3" t="s">
        <v>22</v>
      </c>
      <c r="Q1580" s="7"/>
      <c r="R1580" s="7"/>
    </row>
    <row r="1581" spans="1:18" ht="76.5" x14ac:dyDescent="0.25">
      <c r="A1581" s="3" t="s">
        <v>18</v>
      </c>
      <c r="B1581" s="3">
        <v>2013</v>
      </c>
      <c r="C1581" s="3" t="s">
        <v>2058</v>
      </c>
      <c r="D1581" s="3" t="str">
        <f>"716 / 2013"</f>
        <v>716 / 2013</v>
      </c>
      <c r="E1581" s="4">
        <v>41628</v>
      </c>
      <c r="F1581" s="3" t="s">
        <v>3480</v>
      </c>
      <c r="G1581" s="5"/>
      <c r="H1581" s="3" t="s">
        <v>3481</v>
      </c>
      <c r="I1581" s="3">
        <v>37</v>
      </c>
      <c r="J1581" s="4">
        <v>41625</v>
      </c>
      <c r="K1581" s="6">
        <v>0.47916666666666669</v>
      </c>
      <c r="L1581" s="5"/>
      <c r="M1581" s="3" t="s">
        <v>3482</v>
      </c>
      <c r="N1581" s="3" t="s">
        <v>3482</v>
      </c>
      <c r="O1581" s="5"/>
      <c r="P1581" s="3" t="s">
        <v>74</v>
      </c>
      <c r="Q1581" s="7"/>
      <c r="R1581" s="7"/>
    </row>
    <row r="1582" spans="1:18" ht="51" x14ac:dyDescent="0.25">
      <c r="A1582" s="3" t="s">
        <v>18</v>
      </c>
      <c r="B1582" s="3">
        <v>2013</v>
      </c>
      <c r="C1582" s="3" t="s">
        <v>2058</v>
      </c>
      <c r="D1582" s="3" t="str">
        <f>"717 / 2013"</f>
        <v>717 / 2013</v>
      </c>
      <c r="E1582" s="4">
        <v>41627</v>
      </c>
      <c r="F1582" s="3" t="s">
        <v>3483</v>
      </c>
      <c r="G1582" s="5"/>
      <c r="H1582" s="3" t="s">
        <v>3484</v>
      </c>
      <c r="I1582" s="3">
        <v>37</v>
      </c>
      <c r="J1582" s="4">
        <v>41625</v>
      </c>
      <c r="K1582" s="6">
        <v>0.47916666666666669</v>
      </c>
      <c r="L1582" s="5"/>
      <c r="M1582" s="3" t="s">
        <v>3316</v>
      </c>
      <c r="N1582" s="3" t="s">
        <v>3316</v>
      </c>
      <c r="O1582" s="5"/>
      <c r="P1582" s="3" t="s">
        <v>74</v>
      </c>
      <c r="Q1582" s="7"/>
      <c r="R1582" s="7"/>
    </row>
    <row r="1583" spans="1:18" ht="76.5" x14ac:dyDescent="0.25">
      <c r="A1583" s="3" t="s">
        <v>18</v>
      </c>
      <c r="B1583" s="3">
        <v>2013</v>
      </c>
      <c r="C1583" s="3" t="s">
        <v>2058</v>
      </c>
      <c r="D1583" s="3" t="str">
        <f>"718/ 2013"</f>
        <v>718/ 2013</v>
      </c>
      <c r="E1583" s="4">
        <v>41627</v>
      </c>
      <c r="F1583" s="3" t="s">
        <v>3485</v>
      </c>
      <c r="G1583" s="5"/>
      <c r="H1583" s="3" t="s">
        <v>3486</v>
      </c>
      <c r="I1583" s="3">
        <v>37</v>
      </c>
      <c r="J1583" s="4">
        <v>41625</v>
      </c>
      <c r="K1583" s="6">
        <v>0.47916666666666669</v>
      </c>
      <c r="L1583" s="5"/>
      <c r="M1583" s="3" t="s">
        <v>2110</v>
      </c>
      <c r="N1583" s="3" t="s">
        <v>2110</v>
      </c>
      <c r="O1583" s="5"/>
      <c r="P1583" s="3" t="s">
        <v>74</v>
      </c>
      <c r="Q1583" s="7"/>
      <c r="R1583" s="7"/>
    </row>
    <row r="1584" spans="1:18" ht="63.75" x14ac:dyDescent="0.25">
      <c r="A1584" s="3" t="s">
        <v>18</v>
      </c>
      <c r="B1584" s="3">
        <v>2013</v>
      </c>
      <c r="C1584" s="3" t="s">
        <v>2058</v>
      </c>
      <c r="D1584" s="3" t="str">
        <f>"72 / 2013"</f>
        <v>72 / 2013</v>
      </c>
      <c r="E1584" s="4">
        <v>41320</v>
      </c>
      <c r="F1584" s="3" t="s">
        <v>3487</v>
      </c>
      <c r="G1584" s="5"/>
      <c r="H1584" s="3" t="s">
        <v>3488</v>
      </c>
      <c r="I1584" s="3" t="str">
        <f>"14/02/2013"</f>
        <v>14/02/2013</v>
      </c>
      <c r="J1584" s="4">
        <v>41319</v>
      </c>
      <c r="K1584" s="6">
        <v>0.5</v>
      </c>
      <c r="L1584" s="3">
        <v>13</v>
      </c>
      <c r="M1584" s="3" t="s">
        <v>2110</v>
      </c>
      <c r="N1584" s="3" t="s">
        <v>2110</v>
      </c>
      <c r="O1584" s="5"/>
      <c r="P1584" s="3" t="s">
        <v>22</v>
      </c>
      <c r="Q1584" s="7"/>
      <c r="R1584" s="7"/>
    </row>
    <row r="1585" spans="1:18" ht="114.75" x14ac:dyDescent="0.25">
      <c r="A1585" s="3" t="s">
        <v>18</v>
      </c>
      <c r="B1585" s="3">
        <v>2013</v>
      </c>
      <c r="C1585" s="3" t="s">
        <v>2058</v>
      </c>
      <c r="D1585" s="3" t="str">
        <f>"73 / 2013"</f>
        <v>73 / 2013</v>
      </c>
      <c r="E1585" s="4">
        <v>41331</v>
      </c>
      <c r="F1585" s="3" t="s">
        <v>3489</v>
      </c>
      <c r="G1585" s="5"/>
      <c r="H1585" s="3" t="s">
        <v>3490</v>
      </c>
      <c r="I1585" s="3">
        <v>5</v>
      </c>
      <c r="J1585" s="4">
        <v>41319</v>
      </c>
      <c r="K1585" s="6">
        <v>0.5</v>
      </c>
      <c r="L1585" s="3">
        <v>14</v>
      </c>
      <c r="M1585" s="3" t="s">
        <v>2102</v>
      </c>
      <c r="N1585" s="3" t="s">
        <v>2102</v>
      </c>
      <c r="O1585" s="5"/>
      <c r="P1585" s="3" t="s">
        <v>22</v>
      </c>
      <c r="Q1585" s="7"/>
      <c r="R1585" s="7"/>
    </row>
    <row r="1586" spans="1:18" ht="76.5" x14ac:dyDescent="0.25">
      <c r="A1586" s="3" t="s">
        <v>18</v>
      </c>
      <c r="B1586" s="3">
        <v>2013</v>
      </c>
      <c r="C1586" s="3" t="s">
        <v>2058</v>
      </c>
      <c r="D1586" s="3" t="str">
        <f>"74/2013"</f>
        <v>74/2013</v>
      </c>
      <c r="E1586" s="4">
        <v>41320</v>
      </c>
      <c r="F1586" s="3" t="s">
        <v>3491</v>
      </c>
      <c r="G1586" s="5"/>
      <c r="H1586" s="3" t="s">
        <v>3492</v>
      </c>
      <c r="I1586" s="3">
        <v>5</v>
      </c>
      <c r="J1586" s="4">
        <v>41319</v>
      </c>
      <c r="K1586" s="6">
        <v>0.5</v>
      </c>
      <c r="L1586" s="3">
        <v>15</v>
      </c>
      <c r="M1586" s="3" t="s">
        <v>2102</v>
      </c>
      <c r="N1586" s="3" t="s">
        <v>2102</v>
      </c>
      <c r="O1586" s="5"/>
      <c r="P1586" s="3" t="s">
        <v>22</v>
      </c>
      <c r="Q1586" s="7"/>
      <c r="R1586" s="7"/>
    </row>
    <row r="1587" spans="1:18" ht="51" x14ac:dyDescent="0.25">
      <c r="A1587" s="3" t="s">
        <v>18</v>
      </c>
      <c r="B1587" s="3">
        <v>2013</v>
      </c>
      <c r="C1587" s="3" t="s">
        <v>2058</v>
      </c>
      <c r="D1587" s="3" t="str">
        <f>"77 / 2013"</f>
        <v>77 / 2013</v>
      </c>
      <c r="E1587" s="4">
        <v>41320</v>
      </c>
      <c r="F1587" s="3" t="s">
        <v>3493</v>
      </c>
      <c r="G1587" s="5"/>
      <c r="H1587" s="3" t="s">
        <v>3494</v>
      </c>
      <c r="I1587" s="3">
        <v>5</v>
      </c>
      <c r="J1587" s="4">
        <v>41319</v>
      </c>
      <c r="K1587" s="6">
        <v>0.5</v>
      </c>
      <c r="L1587" s="5"/>
      <c r="M1587" s="3" t="s">
        <v>2099</v>
      </c>
      <c r="N1587" s="3" t="s">
        <v>2099</v>
      </c>
      <c r="O1587" s="5"/>
      <c r="P1587" s="3" t="s">
        <v>74</v>
      </c>
      <c r="Q1587" s="7"/>
      <c r="R1587" s="7"/>
    </row>
    <row r="1588" spans="1:18" ht="51" x14ac:dyDescent="0.25">
      <c r="A1588" s="3" t="s">
        <v>18</v>
      </c>
      <c r="B1588" s="3">
        <v>2013</v>
      </c>
      <c r="C1588" s="3" t="s">
        <v>2058</v>
      </c>
      <c r="D1588" s="3" t="str">
        <f>"78 / 2013"</f>
        <v>78 / 2013</v>
      </c>
      <c r="E1588" s="4">
        <v>41323</v>
      </c>
      <c r="F1588" s="3" t="s">
        <v>3495</v>
      </c>
      <c r="G1588" s="5"/>
      <c r="H1588" s="3" t="s">
        <v>3496</v>
      </c>
      <c r="I1588" s="3">
        <v>5</v>
      </c>
      <c r="J1588" s="4">
        <v>41319</v>
      </c>
      <c r="K1588" s="6">
        <v>0.5</v>
      </c>
      <c r="L1588" s="5"/>
      <c r="M1588" s="3" t="s">
        <v>2061</v>
      </c>
      <c r="N1588" s="3" t="s">
        <v>2061</v>
      </c>
      <c r="O1588" s="5"/>
      <c r="P1588" s="3" t="s">
        <v>74</v>
      </c>
      <c r="Q1588" s="7"/>
      <c r="R1588" s="7"/>
    </row>
    <row r="1589" spans="1:18" ht="76.5" x14ac:dyDescent="0.25">
      <c r="A1589" s="3" t="s">
        <v>18</v>
      </c>
      <c r="B1589" s="3">
        <v>2013</v>
      </c>
      <c r="C1589" s="3" t="s">
        <v>2058</v>
      </c>
      <c r="D1589" s="3" t="str">
        <f>"79 / 2013"</f>
        <v>79 / 2013</v>
      </c>
      <c r="E1589" s="4">
        <v>41320</v>
      </c>
      <c r="F1589" s="3" t="s">
        <v>3497</v>
      </c>
      <c r="G1589" s="5"/>
      <c r="H1589" s="3" t="s">
        <v>2233</v>
      </c>
      <c r="I1589" s="3">
        <v>5</v>
      </c>
      <c r="J1589" s="4">
        <v>41319</v>
      </c>
      <c r="K1589" s="6">
        <v>0.5</v>
      </c>
      <c r="L1589" s="5"/>
      <c r="M1589" s="3" t="s">
        <v>2102</v>
      </c>
      <c r="N1589" s="3" t="s">
        <v>2102</v>
      </c>
      <c r="O1589" s="5"/>
      <c r="P1589" s="3" t="s">
        <v>74</v>
      </c>
      <c r="Q1589" s="7"/>
      <c r="R1589" s="7"/>
    </row>
    <row r="1590" spans="1:18" ht="76.5" x14ac:dyDescent="0.25">
      <c r="A1590" s="3" t="s">
        <v>18</v>
      </c>
      <c r="B1590" s="3">
        <v>2013</v>
      </c>
      <c r="C1590" s="3" t="s">
        <v>2058</v>
      </c>
      <c r="D1590" s="3" t="str">
        <f>"8/ 2013"</f>
        <v>8/ 2013</v>
      </c>
      <c r="E1590" s="4">
        <v>41296</v>
      </c>
      <c r="F1590" s="3" t="s">
        <v>3498</v>
      </c>
      <c r="G1590" s="5"/>
      <c r="H1590" s="3" t="s">
        <v>3499</v>
      </c>
      <c r="I1590" s="3">
        <v>1</v>
      </c>
      <c r="J1590" s="4">
        <v>41295</v>
      </c>
      <c r="K1590" s="6">
        <v>0.5</v>
      </c>
      <c r="L1590" s="3">
        <v>8</v>
      </c>
      <c r="M1590" s="3" t="s">
        <v>3002</v>
      </c>
      <c r="N1590" s="3" t="s">
        <v>3002</v>
      </c>
      <c r="O1590" s="5"/>
      <c r="P1590" s="3" t="s">
        <v>22</v>
      </c>
      <c r="Q1590" s="7"/>
      <c r="R1590" s="7"/>
    </row>
    <row r="1591" spans="1:18" ht="76.5" x14ac:dyDescent="0.25">
      <c r="A1591" s="3" t="s">
        <v>18</v>
      </c>
      <c r="B1591" s="3">
        <v>2013</v>
      </c>
      <c r="C1591" s="3" t="s">
        <v>2058</v>
      </c>
      <c r="D1591" s="3" t="str">
        <f>"80 / 2013"</f>
        <v>80 / 2013</v>
      </c>
      <c r="E1591" s="4">
        <v>41320</v>
      </c>
      <c r="F1591" s="3" t="s">
        <v>3500</v>
      </c>
      <c r="G1591" s="5"/>
      <c r="H1591" s="3" t="s">
        <v>3501</v>
      </c>
      <c r="I1591" s="3">
        <v>5</v>
      </c>
      <c r="J1591" s="4">
        <v>41319</v>
      </c>
      <c r="K1591" s="6">
        <v>0.5</v>
      </c>
      <c r="L1591" s="5"/>
      <c r="M1591" s="3" t="s">
        <v>2102</v>
      </c>
      <c r="N1591" s="3" t="s">
        <v>2102</v>
      </c>
      <c r="O1591" s="5"/>
      <c r="P1591" s="3" t="s">
        <v>74</v>
      </c>
      <c r="Q1591" s="7"/>
      <c r="R1591" s="7"/>
    </row>
    <row r="1592" spans="1:18" ht="102" x14ac:dyDescent="0.25">
      <c r="A1592" s="3" t="s">
        <v>18</v>
      </c>
      <c r="B1592" s="3">
        <v>2013</v>
      </c>
      <c r="C1592" s="3" t="s">
        <v>2058</v>
      </c>
      <c r="D1592" s="3" t="str">
        <f>"81 / 2013"</f>
        <v>81 / 2013</v>
      </c>
      <c r="E1592" s="4">
        <v>41324</v>
      </c>
      <c r="F1592" s="3" t="s">
        <v>3502</v>
      </c>
      <c r="G1592" s="5"/>
      <c r="H1592" s="3" t="s">
        <v>3503</v>
      </c>
      <c r="I1592" s="3">
        <v>6</v>
      </c>
      <c r="J1592" s="4">
        <v>41324</v>
      </c>
      <c r="K1592" s="6">
        <v>0.5</v>
      </c>
      <c r="L1592" s="3">
        <v>1</v>
      </c>
      <c r="M1592" s="3" t="s">
        <v>3504</v>
      </c>
      <c r="N1592" s="3" t="s">
        <v>3504</v>
      </c>
      <c r="O1592" s="5"/>
      <c r="P1592" s="3" t="s">
        <v>22</v>
      </c>
      <c r="Q1592" s="7"/>
      <c r="R1592" s="7"/>
    </row>
    <row r="1593" spans="1:18" ht="76.5" x14ac:dyDescent="0.25">
      <c r="A1593" s="3" t="s">
        <v>18</v>
      </c>
      <c r="B1593" s="3">
        <v>2013</v>
      </c>
      <c r="C1593" s="3" t="s">
        <v>2058</v>
      </c>
      <c r="D1593" s="3" t="str">
        <f>"82 / 2013"</f>
        <v>82 / 2013</v>
      </c>
      <c r="E1593" s="4">
        <v>41326</v>
      </c>
      <c r="F1593" s="3" t="s">
        <v>3505</v>
      </c>
      <c r="G1593" s="5"/>
      <c r="H1593" s="3" t="s">
        <v>3506</v>
      </c>
      <c r="I1593" s="3">
        <v>6</v>
      </c>
      <c r="J1593" s="4">
        <v>41324</v>
      </c>
      <c r="K1593" s="6">
        <v>0.5</v>
      </c>
      <c r="L1593" s="3">
        <v>2</v>
      </c>
      <c r="M1593" s="3" t="s">
        <v>2102</v>
      </c>
      <c r="N1593" s="3" t="s">
        <v>2102</v>
      </c>
      <c r="O1593" s="5"/>
      <c r="P1593" s="3" t="s">
        <v>22</v>
      </c>
      <c r="Q1593" s="7"/>
      <c r="R1593" s="7"/>
    </row>
    <row r="1594" spans="1:18" ht="51" x14ac:dyDescent="0.25">
      <c r="A1594" s="3" t="s">
        <v>18</v>
      </c>
      <c r="B1594" s="3">
        <v>2013</v>
      </c>
      <c r="C1594" s="3" t="s">
        <v>2058</v>
      </c>
      <c r="D1594" s="3" t="str">
        <f>"84 / 2013"</f>
        <v>84 / 2013</v>
      </c>
      <c r="E1594" s="4">
        <v>41326</v>
      </c>
      <c r="F1594" s="3" t="s">
        <v>3507</v>
      </c>
      <c r="G1594" s="5"/>
      <c r="H1594" s="3" t="s">
        <v>3508</v>
      </c>
      <c r="I1594" s="3">
        <v>6</v>
      </c>
      <c r="J1594" s="4">
        <v>41324</v>
      </c>
      <c r="K1594" s="6">
        <v>0.5</v>
      </c>
      <c r="L1594" s="5"/>
      <c r="M1594" s="3" t="s">
        <v>2061</v>
      </c>
      <c r="N1594" s="3" t="s">
        <v>2061</v>
      </c>
      <c r="O1594" s="5"/>
      <c r="P1594" s="3" t="s">
        <v>74</v>
      </c>
      <c r="Q1594" s="7"/>
      <c r="R1594" s="7"/>
    </row>
    <row r="1595" spans="1:18" ht="76.5" x14ac:dyDescent="0.25">
      <c r="A1595" s="3" t="s">
        <v>18</v>
      </c>
      <c r="B1595" s="3">
        <v>2013</v>
      </c>
      <c r="C1595" s="3" t="s">
        <v>2058</v>
      </c>
      <c r="D1595" s="3" t="str">
        <f>"85 / 2013"</f>
        <v>85 / 2013</v>
      </c>
      <c r="E1595" s="4">
        <v>41333</v>
      </c>
      <c r="F1595" s="3" t="s">
        <v>3509</v>
      </c>
      <c r="G1595" s="5"/>
      <c r="H1595" s="3" t="s">
        <v>3510</v>
      </c>
      <c r="I1595" s="3">
        <v>8</v>
      </c>
      <c r="J1595" s="4">
        <v>41333</v>
      </c>
      <c r="K1595" s="6">
        <v>0.5</v>
      </c>
      <c r="L1595" s="3">
        <v>1</v>
      </c>
      <c r="M1595" s="3" t="s">
        <v>2061</v>
      </c>
      <c r="N1595" s="3" t="s">
        <v>2061</v>
      </c>
      <c r="O1595" s="5"/>
      <c r="P1595" s="3" t="s">
        <v>22</v>
      </c>
      <c r="Q1595" s="7"/>
      <c r="R1595" s="7"/>
    </row>
    <row r="1596" spans="1:18" ht="63.75" x14ac:dyDescent="0.25">
      <c r="A1596" s="3" t="s">
        <v>18</v>
      </c>
      <c r="B1596" s="3">
        <v>2013</v>
      </c>
      <c r="C1596" s="3" t="s">
        <v>2058</v>
      </c>
      <c r="D1596" s="3" t="str">
        <f>"86 / 2013"</f>
        <v>86 / 2013</v>
      </c>
      <c r="E1596" s="4">
        <v>41333</v>
      </c>
      <c r="F1596" s="3" t="s">
        <v>3511</v>
      </c>
      <c r="G1596" s="5"/>
      <c r="H1596" s="3" t="s">
        <v>3512</v>
      </c>
      <c r="I1596" s="3">
        <v>8</v>
      </c>
      <c r="J1596" s="4">
        <v>41333</v>
      </c>
      <c r="K1596" s="6">
        <v>0.5</v>
      </c>
      <c r="L1596" s="3">
        <v>2</v>
      </c>
      <c r="M1596" s="3" t="s">
        <v>2099</v>
      </c>
      <c r="N1596" s="3" t="s">
        <v>2099</v>
      </c>
      <c r="O1596" s="5"/>
      <c r="P1596" s="3" t="s">
        <v>22</v>
      </c>
      <c r="Q1596" s="7"/>
      <c r="R1596" s="7"/>
    </row>
    <row r="1597" spans="1:18" ht="89.25" x14ac:dyDescent="0.25">
      <c r="A1597" s="3" t="s">
        <v>18</v>
      </c>
      <c r="B1597" s="3">
        <v>2013</v>
      </c>
      <c r="C1597" s="3" t="s">
        <v>2058</v>
      </c>
      <c r="D1597" s="3" t="str">
        <f>"87 / 2013"</f>
        <v>87 / 2013</v>
      </c>
      <c r="E1597" s="4">
        <v>41344</v>
      </c>
      <c r="F1597" s="3" t="s">
        <v>3513</v>
      </c>
      <c r="G1597" s="5"/>
      <c r="H1597" s="3" t="s">
        <v>3514</v>
      </c>
      <c r="I1597" s="3">
        <v>7</v>
      </c>
      <c r="J1597" s="4">
        <v>41337</v>
      </c>
      <c r="K1597" s="6">
        <v>0.47916666666666669</v>
      </c>
      <c r="L1597" s="3">
        <v>1</v>
      </c>
      <c r="M1597" s="3" t="s">
        <v>2150</v>
      </c>
      <c r="N1597" s="3" t="s">
        <v>2150</v>
      </c>
      <c r="O1597" s="5"/>
      <c r="P1597" s="3" t="s">
        <v>22</v>
      </c>
      <c r="Q1597" s="7"/>
      <c r="R1597" s="7"/>
    </row>
    <row r="1598" spans="1:18" ht="165.75" x14ac:dyDescent="0.25">
      <c r="A1598" s="3" t="s">
        <v>18</v>
      </c>
      <c r="B1598" s="3">
        <v>2013</v>
      </c>
      <c r="C1598" s="3" t="s">
        <v>2058</v>
      </c>
      <c r="D1598" s="3" t="str">
        <f>"88 / 2013"</f>
        <v>88 / 2013</v>
      </c>
      <c r="E1598" s="4">
        <v>41345</v>
      </c>
      <c r="F1598" s="3" t="s">
        <v>3515</v>
      </c>
      <c r="G1598" s="5"/>
      <c r="H1598" s="3" t="s">
        <v>3516</v>
      </c>
      <c r="I1598" s="3">
        <v>7</v>
      </c>
      <c r="J1598" s="4">
        <v>41337</v>
      </c>
      <c r="K1598" s="6">
        <v>0.47916666666666669</v>
      </c>
      <c r="L1598" s="3">
        <v>2</v>
      </c>
      <c r="M1598" s="3" t="s">
        <v>3517</v>
      </c>
      <c r="N1598" s="3" t="s">
        <v>3517</v>
      </c>
      <c r="O1598" s="5"/>
      <c r="P1598" s="3" t="s">
        <v>22</v>
      </c>
      <c r="Q1598" s="7"/>
      <c r="R1598" s="7"/>
    </row>
    <row r="1599" spans="1:18" ht="165.75" x14ac:dyDescent="0.25">
      <c r="A1599" s="3" t="s">
        <v>18</v>
      </c>
      <c r="B1599" s="3">
        <v>2013</v>
      </c>
      <c r="C1599" s="3" t="s">
        <v>2058</v>
      </c>
      <c r="D1599" s="3" t="str">
        <f>"89 / 2013"</f>
        <v>89 / 2013</v>
      </c>
      <c r="E1599" s="4">
        <v>41345</v>
      </c>
      <c r="F1599" s="3" t="s">
        <v>3518</v>
      </c>
      <c r="G1599" s="5"/>
      <c r="H1599" s="3" t="s">
        <v>3519</v>
      </c>
      <c r="I1599" s="3">
        <v>7</v>
      </c>
      <c r="J1599" s="4">
        <v>41337</v>
      </c>
      <c r="K1599" s="6">
        <v>0.47916666666666669</v>
      </c>
      <c r="L1599" s="3">
        <v>3</v>
      </c>
      <c r="M1599" s="3" t="s">
        <v>3520</v>
      </c>
      <c r="N1599" s="3" t="s">
        <v>3520</v>
      </c>
      <c r="O1599" s="5"/>
      <c r="P1599" s="3" t="s">
        <v>22</v>
      </c>
      <c r="Q1599" s="7"/>
      <c r="R1599" s="7"/>
    </row>
    <row r="1600" spans="1:18" ht="89.25" x14ac:dyDescent="0.25">
      <c r="A1600" s="3" t="s">
        <v>18</v>
      </c>
      <c r="B1600" s="3">
        <v>2013</v>
      </c>
      <c r="C1600" s="3" t="s">
        <v>2058</v>
      </c>
      <c r="D1600" s="3" t="str">
        <f>"9 / 2013"</f>
        <v>9 / 2013</v>
      </c>
      <c r="E1600" s="4">
        <v>41296</v>
      </c>
      <c r="F1600" s="3" t="s">
        <v>3521</v>
      </c>
      <c r="G1600" s="5"/>
      <c r="H1600" s="3" t="s">
        <v>3522</v>
      </c>
      <c r="I1600" s="3">
        <v>1</v>
      </c>
      <c r="J1600" s="4">
        <v>41295</v>
      </c>
      <c r="K1600" s="6">
        <v>0.5</v>
      </c>
      <c r="L1600" s="3">
        <v>9</v>
      </c>
      <c r="M1600" s="3" t="s">
        <v>3002</v>
      </c>
      <c r="N1600" s="3" t="s">
        <v>3002</v>
      </c>
      <c r="O1600" s="5"/>
      <c r="P1600" s="3" t="s">
        <v>22</v>
      </c>
      <c r="Q1600" s="7"/>
      <c r="R1600" s="7"/>
    </row>
    <row r="1601" spans="1:18" ht="178.5" x14ac:dyDescent="0.25">
      <c r="A1601" s="3" t="s">
        <v>18</v>
      </c>
      <c r="B1601" s="3">
        <v>2013</v>
      </c>
      <c r="C1601" s="3" t="s">
        <v>2058</v>
      </c>
      <c r="D1601" s="3" t="str">
        <f>"90 / 2013"</f>
        <v>90 / 2013</v>
      </c>
      <c r="E1601" s="4">
        <v>41344</v>
      </c>
      <c r="F1601" s="3" t="s">
        <v>3523</v>
      </c>
      <c r="G1601" s="5"/>
      <c r="H1601" s="3" t="s">
        <v>3524</v>
      </c>
      <c r="I1601" s="3">
        <v>7</v>
      </c>
      <c r="J1601" s="4">
        <v>41337</v>
      </c>
      <c r="K1601" s="6">
        <v>0.47916666666666669</v>
      </c>
      <c r="L1601" s="3">
        <v>4</v>
      </c>
      <c r="M1601" s="3" t="s">
        <v>2099</v>
      </c>
      <c r="N1601" s="3" t="s">
        <v>2099</v>
      </c>
      <c r="O1601" s="5"/>
      <c r="P1601" s="3" t="s">
        <v>22</v>
      </c>
      <c r="Q1601" s="7"/>
      <c r="R1601" s="7"/>
    </row>
    <row r="1602" spans="1:18" ht="51" x14ac:dyDescent="0.25">
      <c r="A1602" s="3" t="s">
        <v>18</v>
      </c>
      <c r="B1602" s="3">
        <v>2013</v>
      </c>
      <c r="C1602" s="3" t="s">
        <v>2058</v>
      </c>
      <c r="D1602" s="3" t="str">
        <f>"91 / 2013"</f>
        <v>91 / 2013</v>
      </c>
      <c r="E1602" s="4">
        <v>41338</v>
      </c>
      <c r="F1602" s="3" t="s">
        <v>3525</v>
      </c>
      <c r="G1602" s="5"/>
      <c r="H1602" s="3" t="s">
        <v>3526</v>
      </c>
      <c r="I1602" s="3">
        <v>7</v>
      </c>
      <c r="J1602" s="4">
        <v>41337</v>
      </c>
      <c r="K1602" s="6">
        <v>0.47916666666666669</v>
      </c>
      <c r="L1602" s="3">
        <v>5</v>
      </c>
      <c r="M1602" s="3" t="s">
        <v>2061</v>
      </c>
      <c r="N1602" s="3" t="s">
        <v>2061</v>
      </c>
      <c r="O1602" s="5"/>
      <c r="P1602" s="3" t="s">
        <v>22</v>
      </c>
      <c r="Q1602" s="7"/>
      <c r="R1602" s="7"/>
    </row>
    <row r="1603" spans="1:18" ht="51" x14ac:dyDescent="0.25">
      <c r="A1603" s="3" t="s">
        <v>18</v>
      </c>
      <c r="B1603" s="3">
        <v>2013</v>
      </c>
      <c r="C1603" s="3" t="s">
        <v>2058</v>
      </c>
      <c r="D1603" s="3" t="str">
        <f>"92 / 2013"</f>
        <v>92 / 2013</v>
      </c>
      <c r="E1603" s="4">
        <v>41338</v>
      </c>
      <c r="F1603" s="3" t="s">
        <v>3527</v>
      </c>
      <c r="G1603" s="5"/>
      <c r="H1603" s="3" t="s">
        <v>3528</v>
      </c>
      <c r="I1603" s="3">
        <v>7</v>
      </c>
      <c r="J1603" s="4">
        <v>41337</v>
      </c>
      <c r="K1603" s="6">
        <v>0.47916666666666669</v>
      </c>
      <c r="L1603" s="3">
        <v>6</v>
      </c>
      <c r="M1603" s="3" t="s">
        <v>2061</v>
      </c>
      <c r="N1603" s="3" t="s">
        <v>2061</v>
      </c>
      <c r="O1603" s="5"/>
      <c r="P1603" s="3" t="s">
        <v>22</v>
      </c>
      <c r="Q1603" s="7"/>
      <c r="R1603" s="7"/>
    </row>
    <row r="1604" spans="1:18" ht="63.75" x14ac:dyDescent="0.25">
      <c r="A1604" s="3" t="s">
        <v>18</v>
      </c>
      <c r="B1604" s="3">
        <v>2013</v>
      </c>
      <c r="C1604" s="3" t="s">
        <v>2058</v>
      </c>
      <c r="D1604" s="3" t="str">
        <f>"93 / 2013"</f>
        <v>93 / 2013</v>
      </c>
      <c r="E1604" s="4">
        <v>41340</v>
      </c>
      <c r="F1604" s="3" t="s">
        <v>3529</v>
      </c>
      <c r="G1604" s="5"/>
      <c r="H1604" s="3" t="s">
        <v>3530</v>
      </c>
      <c r="I1604" s="3">
        <v>7</v>
      </c>
      <c r="J1604" s="4">
        <v>41337</v>
      </c>
      <c r="K1604" s="6">
        <v>0.47916666666666669</v>
      </c>
      <c r="L1604" s="3">
        <v>7</v>
      </c>
      <c r="M1604" s="3" t="s">
        <v>3531</v>
      </c>
      <c r="N1604" s="3" t="s">
        <v>3531</v>
      </c>
      <c r="O1604" s="5"/>
      <c r="P1604" s="3" t="s">
        <v>22</v>
      </c>
      <c r="Q1604" s="7"/>
      <c r="R1604" s="7"/>
    </row>
    <row r="1605" spans="1:18" ht="76.5" x14ac:dyDescent="0.25">
      <c r="A1605" s="3" t="s">
        <v>18</v>
      </c>
      <c r="B1605" s="3">
        <v>2013</v>
      </c>
      <c r="C1605" s="3" t="s">
        <v>2058</v>
      </c>
      <c r="D1605" s="3" t="str">
        <f>"94 / 2013"</f>
        <v>94 / 2013</v>
      </c>
      <c r="E1605" s="4">
        <v>41338</v>
      </c>
      <c r="F1605" s="3" t="s">
        <v>3532</v>
      </c>
      <c r="G1605" s="5"/>
      <c r="H1605" s="3" t="s">
        <v>3533</v>
      </c>
      <c r="I1605" s="3">
        <v>7</v>
      </c>
      <c r="J1605" s="4">
        <v>41337</v>
      </c>
      <c r="K1605" s="6">
        <v>0.47916666666666669</v>
      </c>
      <c r="L1605" s="3">
        <v>8</v>
      </c>
      <c r="M1605" s="3" t="s">
        <v>2061</v>
      </c>
      <c r="N1605" s="3" t="s">
        <v>2061</v>
      </c>
      <c r="O1605" s="5"/>
      <c r="P1605" s="3" t="s">
        <v>22</v>
      </c>
      <c r="Q1605" s="7"/>
      <c r="R1605" s="7"/>
    </row>
    <row r="1606" spans="1:18" ht="51" x14ac:dyDescent="0.25">
      <c r="A1606" s="3" t="s">
        <v>18</v>
      </c>
      <c r="B1606" s="3">
        <v>2013</v>
      </c>
      <c r="C1606" s="3" t="s">
        <v>2058</v>
      </c>
      <c r="D1606" s="3" t="str">
        <f>"95 / 2013"</f>
        <v>95 / 2013</v>
      </c>
      <c r="E1606" s="4">
        <v>41338</v>
      </c>
      <c r="F1606" s="3" t="s">
        <v>3534</v>
      </c>
      <c r="G1606" s="5"/>
      <c r="H1606" s="3" t="s">
        <v>3535</v>
      </c>
      <c r="I1606" s="3">
        <v>7</v>
      </c>
      <c r="J1606" s="4">
        <v>41337</v>
      </c>
      <c r="K1606" s="6">
        <v>0.47916666666666669</v>
      </c>
      <c r="L1606" s="3">
        <v>9</v>
      </c>
      <c r="M1606" s="3" t="s">
        <v>2061</v>
      </c>
      <c r="N1606" s="3" t="s">
        <v>2061</v>
      </c>
      <c r="O1606" s="5"/>
      <c r="P1606" s="3" t="s">
        <v>22</v>
      </c>
      <c r="Q1606" s="7"/>
      <c r="R1606" s="7"/>
    </row>
    <row r="1607" spans="1:18" ht="76.5" x14ac:dyDescent="0.25">
      <c r="A1607" s="3" t="s">
        <v>18</v>
      </c>
      <c r="B1607" s="3">
        <v>2013</v>
      </c>
      <c r="C1607" s="3" t="s">
        <v>2058</v>
      </c>
      <c r="D1607" s="3" t="str">
        <f>"96 / 2013"</f>
        <v>96 / 2013</v>
      </c>
      <c r="E1607" s="4">
        <v>41340</v>
      </c>
      <c r="F1607" s="3" t="s">
        <v>3536</v>
      </c>
      <c r="G1607" s="5"/>
      <c r="H1607" s="3" t="s">
        <v>2334</v>
      </c>
      <c r="I1607" s="3">
        <v>7</v>
      </c>
      <c r="J1607" s="4">
        <v>41337</v>
      </c>
      <c r="K1607" s="6">
        <v>0.47916666666666669</v>
      </c>
      <c r="L1607" s="3">
        <v>10</v>
      </c>
      <c r="M1607" s="3" t="s">
        <v>2335</v>
      </c>
      <c r="N1607" s="3" t="s">
        <v>2335</v>
      </c>
      <c r="O1607" s="5"/>
      <c r="P1607" s="3" t="s">
        <v>22</v>
      </c>
      <c r="Q1607" s="7"/>
      <c r="R1607" s="7"/>
    </row>
    <row r="1608" spans="1:18" ht="76.5" x14ac:dyDescent="0.25">
      <c r="A1608" s="3" t="s">
        <v>18</v>
      </c>
      <c r="B1608" s="3">
        <v>2013</v>
      </c>
      <c r="C1608" s="3" t="s">
        <v>2058</v>
      </c>
      <c r="D1608" s="3" t="str">
        <f>"97 / 2013"</f>
        <v>97 / 2013</v>
      </c>
      <c r="E1608" s="4">
        <v>41344</v>
      </c>
      <c r="F1608" s="3" t="s">
        <v>3537</v>
      </c>
      <c r="G1608" s="5"/>
      <c r="H1608" s="3" t="s">
        <v>3538</v>
      </c>
      <c r="I1608" s="3">
        <v>7</v>
      </c>
      <c r="J1608" s="4">
        <v>41337</v>
      </c>
      <c r="K1608" s="6">
        <v>0.47916666666666669</v>
      </c>
      <c r="L1608" s="3">
        <v>11</v>
      </c>
      <c r="M1608" s="3" t="s">
        <v>2102</v>
      </c>
      <c r="N1608" s="3" t="s">
        <v>2102</v>
      </c>
      <c r="O1608" s="5"/>
      <c r="P1608" s="3" t="s">
        <v>22</v>
      </c>
      <c r="Q1608" s="7"/>
      <c r="R1608" s="7"/>
    </row>
    <row r="1609" spans="1:18" ht="38.25" x14ac:dyDescent="0.25">
      <c r="A1609" s="3" t="s">
        <v>18</v>
      </c>
      <c r="B1609" s="3">
        <v>2013</v>
      </c>
      <c r="C1609" s="3" t="s">
        <v>2058</v>
      </c>
      <c r="D1609" s="3" t="str">
        <f>"98 / 2013"</f>
        <v>98 / 2013</v>
      </c>
      <c r="E1609" s="4">
        <v>41340</v>
      </c>
      <c r="F1609" s="3" t="s">
        <v>3539</v>
      </c>
      <c r="G1609" s="5"/>
      <c r="H1609" s="3" t="s">
        <v>3540</v>
      </c>
      <c r="I1609" s="3">
        <v>7</v>
      </c>
      <c r="J1609" s="4">
        <v>41337</v>
      </c>
      <c r="K1609" s="6">
        <v>0.47916666666666669</v>
      </c>
      <c r="L1609" s="3">
        <v>12</v>
      </c>
      <c r="M1609" s="3" t="s">
        <v>2110</v>
      </c>
      <c r="N1609" s="3" t="s">
        <v>2110</v>
      </c>
      <c r="O1609" s="5"/>
      <c r="P1609" s="3" t="s">
        <v>22</v>
      </c>
      <c r="Q1609" s="7"/>
      <c r="R1609" s="7"/>
    </row>
    <row r="1610" spans="1:18" ht="76.5" x14ac:dyDescent="0.25">
      <c r="A1610" s="3" t="s">
        <v>18</v>
      </c>
      <c r="B1610" s="3">
        <v>2013</v>
      </c>
      <c r="C1610" s="3" t="s">
        <v>2058</v>
      </c>
      <c r="D1610" s="3" t="str">
        <f>"99 / 2013"</f>
        <v>99 / 2013</v>
      </c>
      <c r="E1610" s="4">
        <v>41337</v>
      </c>
      <c r="F1610" s="3" t="s">
        <v>3541</v>
      </c>
      <c r="G1610" s="5"/>
      <c r="H1610" s="3" t="s">
        <v>2637</v>
      </c>
      <c r="I1610" s="3">
        <v>7</v>
      </c>
      <c r="J1610" s="4">
        <v>41337</v>
      </c>
      <c r="K1610" s="6">
        <v>0.47916666666666669</v>
      </c>
      <c r="L1610" s="3">
        <v>13</v>
      </c>
      <c r="M1610" s="3" t="s">
        <v>3542</v>
      </c>
      <c r="N1610" s="3" t="s">
        <v>3542</v>
      </c>
      <c r="O1610" s="5"/>
      <c r="P1610" s="3" t="s">
        <v>22</v>
      </c>
      <c r="Q1610" s="7"/>
      <c r="R1610"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Φύλλα εργασίας</vt:lpstr>
      </vt:variant>
      <vt:variant>
        <vt:i4>1</vt:i4>
      </vt:variant>
    </vt:vector>
  </HeadingPairs>
  <TitlesOfParts>
    <vt:vector size="1" baseType="lpstr">
      <vt:lpstr>2013</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george</dc:creator>
  <cp:lastModifiedBy>george</cp:lastModifiedBy>
  <dcterms:created xsi:type="dcterms:W3CDTF">2017-05-18T07:01:09Z</dcterms:created>
  <dcterms:modified xsi:type="dcterms:W3CDTF">2017-05-18T07:04:10Z</dcterms:modified>
</cp:coreProperties>
</file>